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2-Febrero\"/>
    </mc:Choice>
  </mc:AlternateContent>
  <xr:revisionPtr revIDLastSave="0" documentId="13_ncr:1_{54D73007-8AB9-415F-AC19-CB36BE2FDF43}" xr6:coauthVersionLast="47" xr6:coauthVersionMax="47" xr10:uidLastSave="{00000000-0000-0000-0000-000000000000}"/>
  <bookViews>
    <workbookView xWindow="-120" yWindow="-120" windowWidth="29040" windowHeight="15840" xr2:uid="{00000000-000D-0000-FFFF-FFFF00000000}"/>
    <workbookView xWindow="-28920" yWindow="-120" windowWidth="29040" windowHeight="15840" xr2:uid="{69B336A9-0139-4059-A21F-E950F44B6434}"/>
  </bookViews>
  <sheets>
    <sheet name="Bonos Internos" sheetId="1" r:id="rId1"/>
  </sheets>
  <definedNames>
    <definedName name="_xlnm._FilterDatabase" localSheetId="0" hidden="1">'Bonos Internos'!$C$90:$C$119</definedName>
    <definedName name="Relación_de_Bonos_Internos_Plan_de_Recapitalización_del_Banco_Central__Ley_No._167_07">'Bonos Internos'!$B$62</definedName>
    <definedName name="Relación_de_Bonos_Internos_Subastas_Ministerio_de_Hacienda__Ley_No._366_09">'Bonos Internos'!$B$83</definedName>
    <definedName name="Relación_de_Bonos_Internos_Subastas_Ministerio_de_Hacienda__Ley_No._498_08">'Bonos Internos'!#REF!</definedName>
    <definedName name="Relación_del_Resto_de_Bonos_Internos_Emitidos_por_el_Sector_Público">'Bonos Internos'!$B$32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6" i="1"/>
  <c r="H58" i="1"/>
  <c r="H56" i="1"/>
  <c r="I56" i="1"/>
  <c r="I41" i="1"/>
  <c r="J41" i="1"/>
  <c r="I42" i="1"/>
  <c r="J42" i="1"/>
  <c r="J43" i="1"/>
  <c r="H44" i="1"/>
  <c r="I44" i="1"/>
  <c r="J44" i="1"/>
  <c r="I45" i="1"/>
  <c r="J45" i="1"/>
  <c r="J40" i="1"/>
  <c r="J38" i="1"/>
  <c r="I40" i="1"/>
  <c r="I38" i="1"/>
  <c r="H40" i="1"/>
  <c r="H38" i="1"/>
  <c r="G44" i="1"/>
  <c r="G40" i="1"/>
  <c r="G38" i="1"/>
  <c r="I533" i="1"/>
  <c r="H533" i="1"/>
  <c r="J66" i="1"/>
  <c r="J87" i="1"/>
  <c r="I71" i="1"/>
  <c r="J71" i="1"/>
  <c r="H423" i="1"/>
  <c r="H424" i="1"/>
  <c r="H431" i="1"/>
  <c r="H432" i="1"/>
  <c r="H448" i="1"/>
  <c r="H449" i="1"/>
  <c r="H447" i="1"/>
  <c r="J59" i="1"/>
  <c r="J58" i="1"/>
  <c r="J56" i="1"/>
  <c r="H511" i="1"/>
  <c r="H487" i="1"/>
  <c r="H468" i="1"/>
  <c r="H264" i="1"/>
  <c r="H323" i="1"/>
  <c r="H357" i="1"/>
  <c r="H381" i="1"/>
  <c r="J54" i="1"/>
  <c r="H89" i="1"/>
  <c r="H68" i="1"/>
  <c r="H239" i="1"/>
  <c r="H221" i="1"/>
  <c r="H159" i="1"/>
  <c r="H130" i="1"/>
  <c r="H182" i="1"/>
  <c r="H418" i="1"/>
  <c r="J533" i="1"/>
  <c r="I94" i="1"/>
  <c r="J94" i="1"/>
  <c r="J128" i="1"/>
  <c r="I139" i="1"/>
  <c r="J139" i="1"/>
  <c r="I140" i="1"/>
  <c r="J140" i="1"/>
  <c r="I118" i="1"/>
  <c r="J118" i="1"/>
  <c r="I104" i="1"/>
  <c r="J104" i="1"/>
  <c r="I73" i="1"/>
  <c r="J73" i="1"/>
  <c r="I78" i="1"/>
  <c r="J78" i="1"/>
  <c r="I74" i="1"/>
  <c r="J74" i="1"/>
  <c r="I75" i="1"/>
  <c r="J75" i="1"/>
  <c r="I76" i="1"/>
  <c r="J76" i="1"/>
  <c r="I77" i="1"/>
  <c r="J77" i="1"/>
  <c r="I79" i="1"/>
  <c r="J79" i="1"/>
  <c r="I69" i="1"/>
  <c r="I70" i="1"/>
  <c r="J70" i="1"/>
  <c r="I90" i="1"/>
  <c r="I95" i="1"/>
  <c r="J95" i="1"/>
  <c r="I107" i="1"/>
  <c r="J107" i="1"/>
  <c r="I119" i="1"/>
  <c r="J119" i="1"/>
  <c r="I111" i="1"/>
  <c r="J111" i="1"/>
  <c r="I113" i="1"/>
  <c r="J113" i="1"/>
  <c r="I109" i="1"/>
  <c r="J109" i="1"/>
  <c r="I99" i="1"/>
  <c r="J99" i="1"/>
  <c r="I101" i="1"/>
  <c r="J101" i="1"/>
  <c r="I102" i="1"/>
  <c r="J102" i="1"/>
  <c r="I96" i="1"/>
  <c r="J96" i="1"/>
  <c r="I108" i="1"/>
  <c r="J108" i="1"/>
  <c r="I97" i="1"/>
  <c r="J97" i="1"/>
  <c r="I98" i="1"/>
  <c r="J98" i="1"/>
  <c r="I110" i="1"/>
  <c r="J110" i="1"/>
  <c r="I114" i="1"/>
  <c r="J114" i="1"/>
  <c r="I100" i="1"/>
  <c r="J100" i="1"/>
  <c r="I112" i="1"/>
  <c r="J112" i="1"/>
  <c r="I91" i="1"/>
  <c r="J91" i="1"/>
  <c r="I103" i="1"/>
  <c r="J103" i="1"/>
  <c r="I115" i="1"/>
  <c r="J115" i="1"/>
  <c r="I105" i="1"/>
  <c r="J105" i="1"/>
  <c r="I93" i="1"/>
  <c r="J93" i="1"/>
  <c r="J157" i="1"/>
  <c r="I141" i="1"/>
  <c r="J141" i="1"/>
  <c r="I134" i="1"/>
  <c r="J134" i="1"/>
  <c r="I131" i="1"/>
  <c r="I143" i="1"/>
  <c r="J143" i="1"/>
  <c r="I142" i="1"/>
  <c r="J142" i="1"/>
  <c r="I148" i="1"/>
  <c r="J148" i="1"/>
  <c r="I145" i="1"/>
  <c r="J145" i="1"/>
  <c r="I136" i="1"/>
  <c r="J136" i="1"/>
  <c r="I135" i="1"/>
  <c r="J135" i="1"/>
  <c r="I147" i="1"/>
  <c r="J147" i="1"/>
  <c r="I137" i="1"/>
  <c r="J137" i="1"/>
  <c r="I138" i="1"/>
  <c r="J138" i="1"/>
  <c r="I106" i="1"/>
  <c r="J106" i="1"/>
  <c r="I92" i="1"/>
  <c r="J92" i="1"/>
  <c r="I117" i="1"/>
  <c r="J117" i="1"/>
  <c r="I116" i="1"/>
  <c r="J116" i="1"/>
  <c r="I72" i="1"/>
  <c r="J72" i="1"/>
  <c r="I144" i="1"/>
  <c r="J144" i="1"/>
  <c r="I132" i="1"/>
  <c r="J132" i="1"/>
  <c r="I146" i="1"/>
  <c r="J146" i="1"/>
  <c r="I133" i="1"/>
  <c r="J133" i="1"/>
  <c r="J131" i="1"/>
  <c r="J130" i="1"/>
  <c r="I130" i="1"/>
  <c r="I89" i="1"/>
  <c r="J90" i="1"/>
  <c r="J89" i="1"/>
  <c r="I166" i="1"/>
  <c r="J166" i="1"/>
  <c r="J180" i="1"/>
  <c r="I164" i="1"/>
  <c r="J164" i="1"/>
  <c r="I165" i="1"/>
  <c r="J165" i="1"/>
  <c r="I168" i="1"/>
  <c r="J168" i="1"/>
  <c r="I167" i="1"/>
  <c r="J167" i="1"/>
  <c r="I169" i="1"/>
  <c r="J169" i="1"/>
  <c r="I170" i="1"/>
  <c r="J170" i="1"/>
  <c r="I171" i="1"/>
  <c r="J171" i="1"/>
  <c r="I160" i="1"/>
  <c r="I162" i="1"/>
  <c r="J162" i="1"/>
  <c r="I163" i="1"/>
  <c r="J163" i="1"/>
  <c r="I161" i="1"/>
  <c r="J161" i="1"/>
  <c r="I68" i="1"/>
  <c r="J69" i="1"/>
  <c r="J68" i="1"/>
  <c r="I186" i="1"/>
  <c r="J186" i="1"/>
  <c r="I198" i="1"/>
  <c r="J198" i="1"/>
  <c r="I210" i="1"/>
  <c r="J210" i="1"/>
  <c r="I188" i="1"/>
  <c r="J188" i="1"/>
  <c r="I200" i="1"/>
  <c r="J200" i="1"/>
  <c r="I203" i="1"/>
  <c r="J203" i="1"/>
  <c r="J219" i="1"/>
  <c r="I187" i="1"/>
  <c r="J187" i="1"/>
  <c r="I199" i="1"/>
  <c r="J199" i="1"/>
  <c r="I211" i="1"/>
  <c r="J211" i="1"/>
  <c r="I191" i="1"/>
  <c r="J191" i="1"/>
  <c r="I189" i="1"/>
  <c r="J189" i="1"/>
  <c r="I201" i="1"/>
  <c r="J201" i="1"/>
  <c r="I190" i="1"/>
  <c r="J190" i="1"/>
  <c r="I202" i="1"/>
  <c r="J202" i="1"/>
  <c r="I192" i="1"/>
  <c r="J192" i="1"/>
  <c r="I204" i="1"/>
  <c r="J204" i="1"/>
  <c r="I193" i="1"/>
  <c r="J193" i="1"/>
  <c r="I205" i="1"/>
  <c r="J205" i="1"/>
  <c r="I194" i="1"/>
  <c r="J194" i="1"/>
  <c r="I206" i="1"/>
  <c r="J206" i="1"/>
  <c r="I183" i="1"/>
  <c r="I195" i="1"/>
  <c r="J195" i="1"/>
  <c r="I207" i="1"/>
  <c r="J207" i="1"/>
  <c r="I208" i="1"/>
  <c r="J208" i="1"/>
  <c r="I196" i="1"/>
  <c r="J196" i="1"/>
  <c r="I197" i="1"/>
  <c r="J197" i="1"/>
  <c r="I184" i="1"/>
  <c r="J184" i="1"/>
  <c r="I185" i="1"/>
  <c r="J185" i="1"/>
  <c r="I209" i="1"/>
  <c r="J209" i="1"/>
  <c r="I159" i="1"/>
  <c r="J160" i="1"/>
  <c r="J159" i="1"/>
  <c r="I222" i="1"/>
  <c r="J237" i="1"/>
  <c r="I224" i="1"/>
  <c r="J224" i="1"/>
  <c r="I223" i="1"/>
  <c r="J223" i="1"/>
  <c r="I225" i="1"/>
  <c r="J225" i="1"/>
  <c r="I226" i="1"/>
  <c r="J226" i="1"/>
  <c r="I227" i="1"/>
  <c r="J227" i="1"/>
  <c r="I228" i="1"/>
  <c r="J228" i="1"/>
  <c r="I229" i="1"/>
  <c r="J229" i="1"/>
  <c r="I182" i="1"/>
  <c r="J183" i="1"/>
  <c r="J182" i="1"/>
  <c r="I241" i="1"/>
  <c r="J241" i="1"/>
  <c r="I246" i="1"/>
  <c r="J246" i="1"/>
  <c r="J262" i="1"/>
  <c r="I242" i="1"/>
  <c r="J242" i="1"/>
  <c r="I243" i="1"/>
  <c r="J243" i="1"/>
  <c r="I244" i="1"/>
  <c r="J244" i="1"/>
  <c r="I245" i="1"/>
  <c r="J245" i="1"/>
  <c r="I247" i="1"/>
  <c r="J247" i="1"/>
  <c r="I248" i="1"/>
  <c r="J248" i="1"/>
  <c r="I249" i="1"/>
  <c r="J249" i="1"/>
  <c r="I250" i="1"/>
  <c r="J250" i="1"/>
  <c r="I240" i="1"/>
  <c r="J222" i="1"/>
  <c r="J221" i="1"/>
  <c r="I221" i="1"/>
  <c r="I267" i="1"/>
  <c r="J267" i="1"/>
  <c r="I279" i="1"/>
  <c r="J279" i="1"/>
  <c r="I281" i="1"/>
  <c r="J281" i="1"/>
  <c r="I271" i="1"/>
  <c r="J271" i="1"/>
  <c r="I268" i="1"/>
  <c r="J268" i="1"/>
  <c r="I280" i="1"/>
  <c r="J280" i="1"/>
  <c r="I269" i="1"/>
  <c r="J269" i="1"/>
  <c r="J321" i="1"/>
  <c r="I270" i="1"/>
  <c r="J270" i="1"/>
  <c r="I272" i="1"/>
  <c r="J272" i="1"/>
  <c r="I273" i="1"/>
  <c r="J273" i="1"/>
  <c r="I274" i="1"/>
  <c r="J274" i="1"/>
  <c r="I275" i="1"/>
  <c r="J275" i="1"/>
  <c r="I265" i="1"/>
  <c r="J293" i="1"/>
  <c r="I266" i="1"/>
  <c r="J266" i="1"/>
  <c r="I276" i="1"/>
  <c r="J276" i="1"/>
  <c r="I278" i="1"/>
  <c r="J278" i="1"/>
  <c r="I277" i="1"/>
  <c r="J277" i="1"/>
  <c r="I239" i="1"/>
  <c r="J240" i="1"/>
  <c r="J239" i="1"/>
  <c r="I264" i="1"/>
  <c r="J265" i="1"/>
  <c r="J264" i="1"/>
  <c r="I332" i="1"/>
  <c r="J332" i="1"/>
  <c r="I337" i="1"/>
  <c r="J337" i="1"/>
  <c r="I334" i="1"/>
  <c r="J334" i="1"/>
  <c r="I333" i="1"/>
  <c r="J333" i="1"/>
  <c r="I325" i="1"/>
  <c r="J325" i="1"/>
  <c r="J355" i="1"/>
  <c r="I335" i="1"/>
  <c r="J335" i="1"/>
  <c r="I324" i="1"/>
  <c r="I336" i="1"/>
  <c r="J336" i="1"/>
  <c r="I326" i="1"/>
  <c r="J326" i="1"/>
  <c r="I338" i="1"/>
  <c r="J338" i="1"/>
  <c r="I327" i="1"/>
  <c r="J327" i="1"/>
  <c r="I339" i="1"/>
  <c r="J339" i="1"/>
  <c r="I328" i="1"/>
  <c r="J328" i="1"/>
  <c r="I340" i="1"/>
  <c r="J340" i="1"/>
  <c r="I329" i="1"/>
  <c r="J329" i="1"/>
  <c r="I341" i="1"/>
  <c r="J341" i="1"/>
  <c r="I331" i="1"/>
  <c r="J331" i="1"/>
  <c r="I330" i="1"/>
  <c r="J330" i="1"/>
  <c r="I342" i="1"/>
  <c r="J342" i="1"/>
  <c r="I343" i="1"/>
  <c r="J343" i="1"/>
  <c r="J324" i="1"/>
  <c r="J323" i="1"/>
  <c r="I323" i="1"/>
  <c r="I362" i="1"/>
  <c r="J362" i="1"/>
  <c r="I358" i="1"/>
  <c r="I359" i="1"/>
  <c r="J359" i="1"/>
  <c r="I360" i="1"/>
  <c r="J360" i="1"/>
  <c r="J379" i="1"/>
  <c r="I361" i="1"/>
  <c r="J361" i="1"/>
  <c r="I363" i="1"/>
  <c r="J363" i="1"/>
  <c r="I364" i="1"/>
  <c r="J364" i="1"/>
  <c r="I365" i="1"/>
  <c r="J365" i="1"/>
  <c r="I366" i="1"/>
  <c r="J366" i="1"/>
  <c r="J358" i="1"/>
  <c r="J357" i="1"/>
  <c r="I357" i="1"/>
  <c r="I384" i="1"/>
  <c r="J384" i="1"/>
  <c r="I396" i="1"/>
  <c r="J396" i="1"/>
  <c r="I401" i="1"/>
  <c r="J401" i="1"/>
  <c r="I398" i="1"/>
  <c r="J398" i="1"/>
  <c r="I389" i="1"/>
  <c r="J389" i="1"/>
  <c r="I385" i="1"/>
  <c r="J385" i="1"/>
  <c r="I397" i="1"/>
  <c r="J397" i="1"/>
  <c r="I386" i="1"/>
  <c r="J386" i="1"/>
  <c r="I387" i="1"/>
  <c r="J387" i="1"/>
  <c r="I399" i="1"/>
  <c r="J399" i="1"/>
  <c r="J445" i="1"/>
  <c r="I388" i="1"/>
  <c r="J388" i="1"/>
  <c r="I400" i="1"/>
  <c r="J400" i="1"/>
  <c r="I390" i="1"/>
  <c r="J390" i="1"/>
  <c r="I402" i="1"/>
  <c r="J402" i="1"/>
  <c r="I391" i="1"/>
  <c r="J391" i="1"/>
  <c r="I403" i="1"/>
  <c r="J403" i="1"/>
  <c r="I392" i="1"/>
  <c r="J392" i="1"/>
  <c r="I404" i="1"/>
  <c r="J404" i="1"/>
  <c r="I393" i="1"/>
  <c r="J393" i="1"/>
  <c r="I383" i="1"/>
  <c r="J383" i="1"/>
  <c r="I394" i="1"/>
  <c r="J394" i="1"/>
  <c r="I395" i="1"/>
  <c r="J395" i="1"/>
  <c r="J416" i="1"/>
  <c r="I382" i="1"/>
  <c r="I381" i="1"/>
  <c r="J382" i="1"/>
  <c r="J381" i="1"/>
  <c r="I421" i="1"/>
  <c r="J421" i="1"/>
  <c r="I432" i="1"/>
  <c r="J432" i="1"/>
  <c r="I422" i="1"/>
  <c r="J422" i="1"/>
  <c r="I433" i="1"/>
  <c r="J433" i="1"/>
  <c r="I423" i="1"/>
  <c r="J423" i="1"/>
  <c r="I425" i="1"/>
  <c r="J425" i="1"/>
  <c r="I434" i="1"/>
  <c r="J434" i="1"/>
  <c r="I424" i="1"/>
  <c r="J424" i="1"/>
  <c r="I426" i="1"/>
  <c r="J426" i="1"/>
  <c r="I427" i="1"/>
  <c r="J427" i="1"/>
  <c r="I428" i="1"/>
  <c r="J428" i="1"/>
  <c r="I429" i="1"/>
  <c r="J429" i="1"/>
  <c r="I420" i="1"/>
  <c r="J420" i="1"/>
  <c r="I419" i="1"/>
  <c r="I430" i="1"/>
  <c r="J430" i="1"/>
  <c r="I431" i="1"/>
  <c r="J431" i="1"/>
  <c r="I518" i="1"/>
  <c r="J518" i="1"/>
  <c r="I513" i="1"/>
  <c r="J513" i="1"/>
  <c r="I515" i="1"/>
  <c r="J515" i="1"/>
  <c r="I517" i="1"/>
  <c r="J517" i="1"/>
  <c r="I490" i="1"/>
  <c r="J490" i="1"/>
  <c r="I514" i="1"/>
  <c r="J514" i="1"/>
  <c r="I448" i="1"/>
  <c r="I488" i="1"/>
  <c r="I516" i="1"/>
  <c r="J516" i="1"/>
  <c r="I489" i="1"/>
  <c r="J489" i="1"/>
  <c r="I449" i="1"/>
  <c r="J449" i="1"/>
  <c r="I491" i="1"/>
  <c r="J491" i="1"/>
  <c r="I492" i="1"/>
  <c r="J492" i="1"/>
  <c r="I450" i="1"/>
  <c r="J450" i="1"/>
  <c r="I493" i="1"/>
  <c r="J493" i="1"/>
  <c r="I451" i="1"/>
  <c r="J451" i="1"/>
  <c r="I494" i="1"/>
  <c r="J494" i="1"/>
  <c r="J466" i="1"/>
  <c r="I495" i="1"/>
  <c r="J495" i="1"/>
  <c r="I512" i="1"/>
  <c r="I487" i="1"/>
  <c r="J488" i="1"/>
  <c r="J487" i="1"/>
  <c r="I447" i="1"/>
  <c r="J448" i="1"/>
  <c r="J447" i="1"/>
  <c r="I418" i="1"/>
  <c r="J419" i="1"/>
  <c r="J418" i="1"/>
  <c r="J512" i="1"/>
  <c r="J511" i="1"/>
  <c r="I511" i="1"/>
  <c r="I471" i="1"/>
  <c r="J471" i="1"/>
  <c r="I472" i="1"/>
  <c r="J472" i="1"/>
  <c r="I470" i="1"/>
  <c r="J470" i="1"/>
  <c r="J485" i="1"/>
  <c r="J509" i="1"/>
  <c r="J531" i="1"/>
  <c r="I469" i="1"/>
  <c r="I468" i="1"/>
  <c r="J469" i="1"/>
  <c r="J468" i="1"/>
</calcChain>
</file>

<file path=xl/sharedStrings.xml><?xml version="1.0" encoding="utf-8"?>
<sst xmlns="http://schemas.openxmlformats.org/spreadsheetml/2006/main" count="1003" uniqueCount="179">
  <si>
    <t>Referencia Bono</t>
  </si>
  <si>
    <t>Fecha de Vencimiento</t>
  </si>
  <si>
    <t>Reembolsado</t>
  </si>
  <si>
    <t>Monto en Circulación</t>
  </si>
  <si>
    <t>En Millones de Pesos Dominicanos (DOP)</t>
  </si>
  <si>
    <t>Monto Autorizado</t>
  </si>
  <si>
    <t>Monto Colocado</t>
  </si>
  <si>
    <t>Fecha de Emisión</t>
  </si>
  <si>
    <t>Cupón</t>
  </si>
  <si>
    <t>Fija 16%</t>
  </si>
  <si>
    <t>Referencia Letra / Bono</t>
  </si>
  <si>
    <t>Bono 3 años</t>
  </si>
  <si>
    <t>Bono 5 años</t>
  </si>
  <si>
    <t>Bono 7 años</t>
  </si>
  <si>
    <t xml:space="preserve">Monto Autorizado </t>
  </si>
  <si>
    <t>Fija 14%</t>
  </si>
  <si>
    <t>DIRECCIÓN GENERAL DE CRÉDITO PÚBLICO</t>
  </si>
  <si>
    <t>REPÚBLICA DOMINICANA</t>
  </si>
  <si>
    <t>Moneda</t>
  </si>
  <si>
    <t>DOP</t>
  </si>
  <si>
    <t>USD</t>
  </si>
  <si>
    <t>Total USD</t>
  </si>
  <si>
    <t>TOTAL</t>
  </si>
  <si>
    <t>** Leyes de Bonos Internos están disponibles en la Sección Marco Legal.</t>
  </si>
  <si>
    <t>2008-14-0005</t>
  </si>
  <si>
    <t>2008-14-0007</t>
  </si>
  <si>
    <t>2008-14-0010</t>
  </si>
  <si>
    <t>2008-14-0011</t>
  </si>
  <si>
    <t>2009-14-0003</t>
  </si>
  <si>
    <t>Relación de Bonos Internos Plan de Recapitalización del Banco Central (Ley No. 167-07)</t>
  </si>
  <si>
    <t>Fija 12%</t>
  </si>
  <si>
    <t>Fecha de Colocación</t>
  </si>
  <si>
    <t>MINISTERIO DE HACIENDA</t>
  </si>
  <si>
    <t>SEH1-2015</t>
  </si>
  <si>
    <t>SEH1-2017</t>
  </si>
  <si>
    <t>Bonos Internos Emitidos por el Sector Público</t>
  </si>
  <si>
    <t>Bonos Internos Plan de Recapitalización del Banco Central (Ley No. 167-07)</t>
  </si>
  <si>
    <t>Resto de Bonos Internos Emitidos por el Sector Público</t>
  </si>
  <si>
    <t>Relación del Resto de Bonos Internos Emitidos por el Sector Público</t>
  </si>
  <si>
    <t>Bonos Internos Subastas Ministerio de Hacienda durante 2010 (Ley No. 366-09)</t>
  </si>
  <si>
    <t>Relación de Bonos Internos Subastas Ministerio de Hacienda durante 2010 (Ley No. 366-09)</t>
  </si>
  <si>
    <t>SEH2-2013</t>
  </si>
  <si>
    <t>Fija 10.5%</t>
  </si>
  <si>
    <t>SEH2-2015</t>
  </si>
  <si>
    <t>SEH2-2017</t>
  </si>
  <si>
    <t>Fija 13.5%</t>
  </si>
  <si>
    <t>MH1-2020</t>
  </si>
  <si>
    <t>MH2-2014</t>
  </si>
  <si>
    <t>Fija 11.7%</t>
  </si>
  <si>
    <t>MH1-2018</t>
  </si>
  <si>
    <t>MH1-2021</t>
  </si>
  <si>
    <t>Fija 14.0%</t>
  </si>
  <si>
    <t>Fija 15.95%</t>
  </si>
  <si>
    <t>Bonos Internos Subastas Ministerio de Hacienda durante 2011 (Ley No. 131-11)</t>
  </si>
  <si>
    <t>Relación de Bonos Internos Subastas Ministerio de Hacienda durante 2011 (Ley No. 131-11)</t>
  </si>
  <si>
    <t>MH1-2022</t>
  </si>
  <si>
    <t>Fija 16.95%</t>
  </si>
  <si>
    <t>Relación de Bonos Internos Subastas Ministerio de Hacienda durante 2012 (Ley No. 361-11)</t>
  </si>
  <si>
    <t>Bonos Internos Subastas Ministerio de Hacienda durante 2012 (Ley No. 361-11)</t>
  </si>
  <si>
    <t>MH1-2019</t>
  </si>
  <si>
    <t>Fija 15.00%</t>
  </si>
  <si>
    <t>Fija 7%</t>
  </si>
  <si>
    <t>2012-14-0003 (Ley No. 175-12)</t>
  </si>
  <si>
    <t>Relación de Bonos Internos Subastas Ministerio de Hacienda durante 2013 (Ley No. 58-13)</t>
  </si>
  <si>
    <t>Bonos Internos Subastas Ministerio de Hacienda durante 2013 (Ley No. 58-13)</t>
  </si>
  <si>
    <t>MH2-2018</t>
  </si>
  <si>
    <t>MH1-2023</t>
  </si>
  <si>
    <t>MH1-2028</t>
  </si>
  <si>
    <t>Fija 12.50%</t>
  </si>
  <si>
    <t>Fija 14.50%</t>
  </si>
  <si>
    <t>Fija 18.50%</t>
  </si>
  <si>
    <t>MH2-2028</t>
  </si>
  <si>
    <t>Fija 13.50%</t>
  </si>
  <si>
    <t>Relación de Bonos Internos Subastas Ministerio de Hacienda durante 2014 (Ley No. 152-14)</t>
  </si>
  <si>
    <t>Fija 10.4%</t>
  </si>
  <si>
    <t>Fija 11.50%</t>
  </si>
  <si>
    <t>Fija 11.375%</t>
  </si>
  <si>
    <t>MH1-2029</t>
  </si>
  <si>
    <t>MH2-2019</t>
  </si>
  <si>
    <t>MH1-2024</t>
  </si>
  <si>
    <t>Bonos Internos Subastas Ministerio de Hacienda durante 2014 (Ley No. 152-14)</t>
  </si>
  <si>
    <t>MH2-2022</t>
  </si>
  <si>
    <t>Relación de Bonos Internos Subastas Ministerio de Hacienda durante 2015 (Ley No. 548-14)</t>
  </si>
  <si>
    <t>Bonos Internos Subastas Ministerio de Hacienda durante 2015 (Ley No. 548-14)</t>
  </si>
  <si>
    <t>Fija 10.375%</t>
  </si>
  <si>
    <t>MH1-2026</t>
  </si>
  <si>
    <t>Fija 11.500%</t>
  </si>
  <si>
    <t xml:space="preserve">MH2-2026    </t>
  </si>
  <si>
    <t>Fija 10.875%</t>
  </si>
  <si>
    <t>Relación de Bonos Internos Subastas Ministerio de Hacienda durante 2016 (Ley No. 331-15)</t>
  </si>
  <si>
    <t>Bonos Internos Subastas Ministerio de Hacienda durante 2016 (Ley No. 331-15)</t>
  </si>
  <si>
    <t xml:space="preserve">MH3-2026    </t>
  </si>
  <si>
    <t>Fija 11.000%</t>
  </si>
  <si>
    <t xml:space="preserve">MH4-2026    </t>
  </si>
  <si>
    <t xml:space="preserve">MH1-2029    </t>
  </si>
  <si>
    <t xml:space="preserve">MH2-2022    </t>
  </si>
  <si>
    <t xml:space="preserve">MH1-2027    </t>
  </si>
  <si>
    <t>Relación de Bonos Internos Subastas Ministerio de Hacienda durante 2017 (Ley No. 693-16)</t>
  </si>
  <si>
    <t>Bonos Internos Subastas Ministerio de Hacienda durante 2017 (Ley No. 693-16)</t>
  </si>
  <si>
    <t>Fija 6%</t>
  </si>
  <si>
    <t>MH-USD2027 (Ley 687-16)</t>
  </si>
  <si>
    <t xml:space="preserve">MH2-2023    </t>
  </si>
  <si>
    <t xml:space="preserve">MH1-2032    </t>
  </si>
  <si>
    <t>Fija 10.500%</t>
  </si>
  <si>
    <t>Fija 12.000%</t>
  </si>
  <si>
    <t>Fija 11.250%</t>
  </si>
  <si>
    <t>Relación de Bonos Internos Subastas Ministerio de Hacienda durante 2018 (Ley No. 248-17)</t>
  </si>
  <si>
    <t>Bonos Internos Subastas Ministerio de Hacienda durante 2018 (Ley No. 248-17)</t>
  </si>
  <si>
    <t>TOTAL EN RD$</t>
  </si>
  <si>
    <t>MH3-2028</t>
  </si>
  <si>
    <t>Fija 10.750%</t>
  </si>
  <si>
    <t>MH2-2023</t>
  </si>
  <si>
    <t>Relación de Bonos Internos Subastas Ministerio de Hacienda durante 2019 (Ley No. 64-18)</t>
  </si>
  <si>
    <t xml:space="preserve">MH2-2024    </t>
  </si>
  <si>
    <t xml:space="preserve">MH1-2034    </t>
  </si>
  <si>
    <t>Fija 10.250%</t>
  </si>
  <si>
    <t xml:space="preserve">MH3-2028    </t>
  </si>
  <si>
    <t>+</t>
  </si>
  <si>
    <t xml:space="preserve">MH2-2029    </t>
  </si>
  <si>
    <t>Fija 6.65%</t>
  </si>
  <si>
    <t>MH-USD2026 (Ley No. 493-19)</t>
  </si>
  <si>
    <t>MH1-2032</t>
  </si>
  <si>
    <t>MH1-2027</t>
  </si>
  <si>
    <t>Bonos Internos Subastas Ministerio de Hacienda durante 2019 (Ley No. 64-18)</t>
  </si>
  <si>
    <t>Bonos Internos Subastas Ministerio de Hacienda durante 2020 (Ley No. 512-19)</t>
  </si>
  <si>
    <t>MH1-2030</t>
  </si>
  <si>
    <t>Fija 10.3750%</t>
  </si>
  <si>
    <t>MH1-2040</t>
  </si>
  <si>
    <t>Fija 11.3750%</t>
  </si>
  <si>
    <t>Fija 6.25%</t>
  </si>
  <si>
    <t>MH-DP2026 (Ley No. 493-19)</t>
  </si>
  <si>
    <t>Relación del Resto de Bonos Internos (Desmaterialización de Préstamos)</t>
  </si>
  <si>
    <t>COV-2030</t>
  </si>
  <si>
    <t>COV-2035</t>
  </si>
  <si>
    <t>COV-2040</t>
  </si>
  <si>
    <t>Fija 10.0000%</t>
  </si>
  <si>
    <t>Fija 10.2500%</t>
  </si>
  <si>
    <t>Fija 10.8750%</t>
  </si>
  <si>
    <t>Fija 6.95%</t>
  </si>
  <si>
    <t>MH-USD2029 (Ley No. 512-19)</t>
  </si>
  <si>
    <t>INF-2040</t>
  </si>
  <si>
    <t>Fija 6.75%</t>
  </si>
  <si>
    <t>*Monto autorizado se convierte con el tipo de cambio de la ley general de presupuesto del Estado (Ley No.506-19) y su modificación a la ley de valores de deuda pública (Ley No. 68-20).</t>
  </si>
  <si>
    <t>MH-USD2040 (Ley No. 512-19)*</t>
  </si>
  <si>
    <t>MH1-2035</t>
  </si>
  <si>
    <t>Relación de Bonos Internos Subastas y Colocaciones Directas Ministerio de Hacienda durante 2020 (Ley No. 512-19)</t>
  </si>
  <si>
    <t>Bonos Internos Subastas Ministerio de Hacienda durante 2021 (Ley No. 243-20)</t>
  </si>
  <si>
    <t>Relación de Bonos Internos Subastas y Colocaciones Directas Ministerio de Hacienda durante 2021 (Ley No. 243-20)</t>
  </si>
  <si>
    <t>MH4-2028</t>
  </si>
  <si>
    <t>MH1-2031</t>
  </si>
  <si>
    <t>Fija 8.0000%</t>
  </si>
  <si>
    <t>Fija 8.6250%</t>
  </si>
  <si>
    <t>En Millones de Dolares (USD)</t>
  </si>
  <si>
    <t>sss</t>
  </si>
  <si>
    <t>Fija 8%</t>
  </si>
  <si>
    <t>Bonos Internos Subastas Ministerio de Hacienda durante 2022 (Ley No. 348-21)</t>
  </si>
  <si>
    <t>Relación de Bonos Internos Subastas y Colocaciones Directas Ministerio de Hacienda durante 2022 (Ley No. 348-21)</t>
  </si>
  <si>
    <t>Fija 13.0000%</t>
  </si>
  <si>
    <t>MH2-2034</t>
  </si>
  <si>
    <t>MH3-2029</t>
  </si>
  <si>
    <t>Fija 12.7500%</t>
  </si>
  <si>
    <t>Fija 10.25%</t>
  </si>
  <si>
    <t>Fija 9.5%</t>
  </si>
  <si>
    <t>Fija 12.75%</t>
  </si>
  <si>
    <t>Fija 11.5%</t>
  </si>
  <si>
    <t>MH3-2034</t>
  </si>
  <si>
    <t>Fija 13.625%</t>
  </si>
  <si>
    <t>Relación de Bonos Internos Subastas y Colocaciones Directas Ministerio de Hacienda durante 2023 (Ley No. 01-23)</t>
  </si>
  <si>
    <t>Bonos Internos Subastas Ministerio de Hacienda durante 2023 (Ley No. 01-23)</t>
  </si>
  <si>
    <t>Fija 10%</t>
  </si>
  <si>
    <t>Fija 10.6%</t>
  </si>
  <si>
    <t>Fija 9.75%</t>
  </si>
  <si>
    <t>Relación de Bonos Internos Subastas y Colocaciones Directas Ministerio de Hacienda durante 2024 (Ley No. 07-24)</t>
  </si>
  <si>
    <t>MH2-2031</t>
  </si>
  <si>
    <t>Bonos Internos Subastas Ministerio de Hacienda durante 2024 (Ley No. 07-24)</t>
  </si>
  <si>
    <t>MH2-2035</t>
  </si>
  <si>
    <t>Fija 10.5000%</t>
  </si>
  <si>
    <t>Relación de Bonos Internos Subastas y Colocaciones Directas Ministerio de Hacienda durante 2025 (Ley No. 90-24)</t>
  </si>
  <si>
    <t>Bonos Internos Subastas Ministerio de Hacienda durante 2025 (Ley No. 90-24)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</si>
</sst>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dd\-mmm\-yyyy"/>
    <numFmt numFmtId="165" formatCode="#,##0.000"/>
    <numFmt numFmtId="166" formatCode="dd\-mmm\-yyyy;@"/>
    <numFmt numFmtId="167" formatCode="[$-140A]\ dd&quot;-&quot;mmm&quot;-&quot;yyyy;@"/>
    <numFmt numFmtId="168" formatCode="0.000%"/>
    <numFmt numFmtId="169" formatCode="[$-C0A]d\-mmm\-yyyy;@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u/>
      <sz val="9"/>
      <color theme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rgb="FF555864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519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9" fontId="18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 wrapText="1"/>
    </xf>
    <xf numFmtId="43" fontId="8" fillId="0" borderId="0" xfId="1" applyFont="1" applyAlignment="1">
      <alignment horizontal="center" vertical="center"/>
    </xf>
    <xf numFmtId="9" fontId="7" fillId="0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wrapText="1"/>
    </xf>
    <xf numFmtId="0" fontId="9" fillId="0" borderId="0" xfId="0" applyFont="1"/>
    <xf numFmtId="0" fontId="10" fillId="0" borderId="0" xfId="0" applyFont="1"/>
    <xf numFmtId="43" fontId="10" fillId="0" borderId="0" xfId="0" applyNumberFormat="1" applyFont="1"/>
    <xf numFmtId="0" fontId="11" fillId="0" borderId="0" xfId="0" applyFont="1" applyAlignment="1">
      <alignment horizontal="right" wrapText="1"/>
    </xf>
    <xf numFmtId="43" fontId="2" fillId="0" borderId="1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166" fontId="7" fillId="2" borderId="0" xfId="0" applyNumberFormat="1" applyFont="1" applyFill="1" applyAlignment="1">
      <alignment vertical="center" wrapText="1"/>
    </xf>
    <xf numFmtId="43" fontId="7" fillId="2" borderId="0" xfId="1" applyFont="1" applyFill="1" applyAlignment="1">
      <alignment horizontal="center" vertical="center"/>
    </xf>
    <xf numFmtId="43" fontId="8" fillId="2" borderId="0" xfId="1" applyFont="1" applyFill="1" applyAlignment="1">
      <alignment horizontal="right" vertical="center"/>
    </xf>
    <xf numFmtId="9" fontId="7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15" fillId="0" borderId="0" xfId="0" applyFont="1"/>
    <xf numFmtId="0" fontId="15" fillId="2" borderId="0" xfId="0" applyFont="1" applyFill="1"/>
    <xf numFmtId="0" fontId="16" fillId="0" borderId="0" xfId="0" applyFon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15" fillId="2" borderId="0" xfId="0" applyFont="1" applyFill="1" applyAlignment="1">
      <alignment vertical="center"/>
    </xf>
    <xf numFmtId="0" fontId="17" fillId="0" borderId="0" xfId="0" applyFont="1"/>
    <xf numFmtId="0" fontId="12" fillId="0" borderId="0" xfId="0" applyFont="1"/>
    <xf numFmtId="43" fontId="8" fillId="2" borderId="0" xfId="0" applyNumberFormat="1" applyFont="1" applyFill="1"/>
    <xf numFmtId="43" fontId="7" fillId="2" borderId="0" xfId="0" applyNumberFormat="1" applyFont="1" applyFill="1"/>
    <xf numFmtId="43" fontId="2" fillId="0" borderId="1" xfId="0" applyNumberFormat="1" applyFont="1" applyBorder="1" applyAlignment="1">
      <alignment horizontal="right" wrapText="1"/>
    </xf>
    <xf numFmtId="16" fontId="15" fillId="0" borderId="0" xfId="0" applyNumberFormat="1" applyFont="1"/>
    <xf numFmtId="43" fontId="2" fillId="0" borderId="1" xfId="0" applyNumberFormat="1" applyFont="1" applyBorder="1" applyAlignment="1">
      <alignment wrapText="1"/>
    </xf>
    <xf numFmtId="43" fontId="7" fillId="2" borderId="0" xfId="1" applyFont="1" applyFill="1" applyAlignment="1">
      <alignment vertical="center"/>
    </xf>
    <xf numFmtId="43" fontId="7" fillId="0" borderId="0" xfId="1" applyFont="1" applyFill="1" applyAlignment="1">
      <alignment horizontal="center" vertical="center"/>
    </xf>
    <xf numFmtId="43" fontId="7" fillId="0" borderId="0" xfId="0" applyNumberFormat="1" applyFont="1"/>
    <xf numFmtId="43" fontId="8" fillId="0" borderId="0" xfId="0" applyNumberFormat="1" applyFont="1"/>
    <xf numFmtId="43" fontId="8" fillId="2" borderId="0" xfId="1" applyFont="1" applyFill="1" applyAlignment="1">
      <alignment vertical="center"/>
    </xf>
    <xf numFmtId="43" fontId="11" fillId="2" borderId="1" xfId="0" applyNumberFormat="1" applyFont="1" applyFill="1" applyBorder="1" applyAlignment="1">
      <alignment horizontal="right" wrapText="1"/>
    </xf>
    <xf numFmtId="167" fontId="3" fillId="3" borderId="5" xfId="0" applyNumberFormat="1" applyFont="1" applyFill="1" applyBorder="1" applyAlignment="1">
      <alignment horizontal="center" wrapText="1"/>
    </xf>
    <xf numFmtId="168" fontId="7" fillId="2" borderId="0" xfId="6" applyNumberFormat="1" applyFont="1" applyFill="1" applyAlignment="1">
      <alignment horizontal="center" vertical="center"/>
    </xf>
    <xf numFmtId="9" fontId="1" fillId="2" borderId="0" xfId="1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left" wrapText="1"/>
    </xf>
    <xf numFmtId="9" fontId="1" fillId="0" borderId="0" xfId="1" applyNumberFormat="1" applyFont="1" applyFill="1" applyBorder="1" applyAlignment="1">
      <alignment horizontal="center" vertical="center"/>
    </xf>
    <xf numFmtId="0" fontId="1" fillId="0" borderId="0" xfId="0" applyFont="1"/>
    <xf numFmtId="43" fontId="1" fillId="0" borderId="0" xfId="1" applyFont="1"/>
    <xf numFmtId="0" fontId="4" fillId="0" borderId="0" xfId="0" applyFont="1"/>
    <xf numFmtId="0" fontId="14" fillId="0" borderId="0" xfId="3" applyAlignment="1" applyProtection="1">
      <alignment horizontal="left" indent="1"/>
    </xf>
    <xf numFmtId="43" fontId="1" fillId="0" borderId="0" xfId="1" applyFont="1" applyFill="1"/>
    <xf numFmtId="43" fontId="1" fillId="0" borderId="0" xfId="0" applyNumberFormat="1" applyFont="1"/>
    <xf numFmtId="9" fontId="1" fillId="2" borderId="0" xfId="1" applyNumberFormat="1" applyFont="1" applyFill="1" applyAlignment="1">
      <alignment horizontal="center" vertical="center" wrapText="1"/>
    </xf>
    <xf numFmtId="0" fontId="7" fillId="2" borderId="0" xfId="0" applyFont="1" applyFill="1"/>
    <xf numFmtId="169" fontId="1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4" fontId="7" fillId="0" borderId="0" xfId="0" applyNumberFormat="1" applyFont="1"/>
    <xf numFmtId="0" fontId="7" fillId="0" borderId="0" xfId="0" applyFont="1"/>
    <xf numFmtId="0" fontId="1" fillId="2" borderId="0" xfId="0" applyFont="1" applyFill="1" applyAlignment="1">
      <alignment horizontal="center" vertical="center"/>
    </xf>
    <xf numFmtId="43" fontId="1" fillId="2" borderId="0" xfId="1" applyFont="1" applyFill="1" applyBorder="1" applyAlignment="1">
      <alignment horizontal="center" vertical="center"/>
    </xf>
    <xf numFmtId="0" fontId="1" fillId="2" borderId="0" xfId="0" applyFont="1" applyFill="1"/>
    <xf numFmtId="43" fontId="1" fillId="2" borderId="0" xfId="0" applyNumberFormat="1" applyFont="1" applyFill="1"/>
    <xf numFmtId="9" fontId="1" fillId="2" borderId="0" xfId="1" applyNumberFormat="1" applyFont="1" applyFill="1" applyAlignment="1">
      <alignment horizontal="center" vertical="center"/>
    </xf>
    <xf numFmtId="43" fontId="1" fillId="2" borderId="0" xfId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43" fontId="1" fillId="0" borderId="0" xfId="1" applyFont="1" applyFill="1" applyAlignment="1">
      <alignment horizontal="center" vertical="center"/>
    </xf>
    <xf numFmtId="43" fontId="1" fillId="0" borderId="0" xfId="1" applyFont="1" applyFill="1" applyBorder="1"/>
    <xf numFmtId="0" fontId="1" fillId="0" borderId="0" xfId="0" applyFont="1" applyAlignment="1">
      <alignment horizontal="center"/>
    </xf>
    <xf numFmtId="43" fontId="1" fillId="2" borderId="0" xfId="1" applyFont="1" applyFill="1"/>
    <xf numFmtId="2" fontId="7" fillId="2" borderId="0" xfId="1" applyNumberFormat="1" applyFont="1" applyFill="1" applyAlignment="1">
      <alignment horizontal="right" vertical="center"/>
    </xf>
    <xf numFmtId="3" fontId="20" fillId="0" borderId="0" xfId="0" applyNumberFormat="1" applyFont="1"/>
    <xf numFmtId="166" fontId="1" fillId="2" borderId="0" xfId="0" applyNumberFormat="1" applyFont="1" applyFill="1" applyAlignment="1">
      <alignment vertical="center" wrapText="1"/>
    </xf>
    <xf numFmtId="166" fontId="1" fillId="2" borderId="0" xfId="0" applyNumberFormat="1" applyFont="1" applyFill="1" applyAlignment="1">
      <alignment vertical="center"/>
    </xf>
    <xf numFmtId="0" fontId="1" fillId="0" borderId="1" xfId="0" applyFont="1" applyBorder="1"/>
    <xf numFmtId="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/>
    <xf numFmtId="43" fontId="1" fillId="2" borderId="0" xfId="1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wrapText="1"/>
    </xf>
    <xf numFmtId="167" fontId="19" fillId="4" borderId="5" xfId="0" applyNumberFormat="1" applyFont="1" applyFill="1" applyBorder="1" applyAlignment="1">
      <alignment horizontal="center" wrapText="1"/>
    </xf>
    <xf numFmtId="168" fontId="7" fillId="2" borderId="0" xfId="6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3" fontId="7" fillId="2" borderId="0" xfId="1" applyFont="1" applyFill="1"/>
    <xf numFmtId="169" fontId="1" fillId="0" borderId="0" xfId="0" applyNumberFormat="1" applyFont="1" applyAlignment="1">
      <alignment vertical="center" wrapText="1"/>
    </xf>
    <xf numFmtId="168" fontId="7" fillId="0" borderId="0" xfId="6" applyNumberFormat="1" applyFont="1" applyFill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43" fontId="21" fillId="0" borderId="0" xfId="0" applyNumberFormat="1" applyFont="1"/>
    <xf numFmtId="0" fontId="21" fillId="2" borderId="0" xfId="0" applyFont="1" applyFill="1"/>
    <xf numFmtId="0" fontId="21" fillId="2" borderId="0" xfId="0" applyFont="1" applyFill="1" applyAlignment="1">
      <alignment vertical="center"/>
    </xf>
    <xf numFmtId="43" fontId="21" fillId="2" borderId="0" xfId="0" applyNumberFormat="1" applyFont="1" applyFill="1"/>
    <xf numFmtId="0" fontId="23" fillId="0" borderId="0" xfId="0" applyFont="1"/>
    <xf numFmtId="3" fontId="21" fillId="0" borderId="0" xfId="0" applyNumberFormat="1" applyFont="1"/>
    <xf numFmtId="43" fontId="21" fillId="0" borderId="0" xfId="1" applyFont="1"/>
  </cellXfs>
  <cellStyles count="7">
    <cellStyle name="Comma" xfId="1" builtinId="3"/>
    <cellStyle name="Comma 2 36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9" defaultPivotStyle="PivotStyleLight16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833719</xdr:colOff>
      <xdr:row>0</xdr:row>
      <xdr:rowOff>112058</xdr:rowOff>
    </xdr:from>
    <xdr:to>
      <xdr:col>4</xdr:col>
      <xdr:colOff>1464910</xdr:colOff>
      <xdr:row>4</xdr:row>
      <xdr:rowOff>53738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C1F4A3-0F48-4BF0-8777-7C69880177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5596219" y="112058"/>
          <a:ext cx="625476" cy="589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P539"/>
  <sheetViews>
    <sheetView showGridLines="0" tabSelected="1" zoomScaleNormal="100" workbookViewId="0"/>
    <sheetView tabSelected="1" topLeftCell="A518" workbookViewId="1">
      <selection activeCell="B533" sqref="B533:J533"/>
    </sheetView>
  </sheetViews>
  <sheetFormatPr defaultColWidth="9.140625" defaultRowHeight="12.75" x14ac:dyDescent="0.2"/>
  <cols>
    <col min="1" max="1" width="2.85546875" style="23" customWidth="1"/>
    <col min="2" max="2" width="30.85546875" style="49" customWidth="1"/>
    <col min="3" max="3" width="20.42578125" style="49" bestFit="1" customWidth="1"/>
    <col min="4" max="4" width="17.42578125" style="49" customWidth="1"/>
    <col min="5" max="5" width="22.42578125" style="49" customWidth="1"/>
    <col min="6" max="6" width="8.28515625" style="49" bestFit="1" customWidth="1"/>
    <col min="7" max="7" width="20.7109375" style="49" bestFit="1" customWidth="1"/>
    <col min="8" max="8" width="18.5703125" style="49" bestFit="1" customWidth="1"/>
    <col min="9" max="9" width="15.42578125" style="49" customWidth="1"/>
    <col min="10" max="10" width="19.42578125" style="49" bestFit="1" customWidth="1"/>
    <col min="11" max="11" width="17.7109375" style="100" bestFit="1" customWidth="1"/>
    <col min="12" max="12" width="12.85546875" style="100" bestFit="1" customWidth="1"/>
    <col min="13" max="13" width="14.85546875" style="100" bestFit="1" customWidth="1"/>
    <col min="14" max="14" width="10.28515625" style="100" bestFit="1" customWidth="1"/>
    <col min="15" max="16384" width="9.140625" style="49"/>
  </cols>
  <sheetData>
    <row r="6" spans="1:14" x14ac:dyDescent="0.2">
      <c r="B6" s="99" t="s">
        <v>16</v>
      </c>
      <c r="C6" s="99"/>
      <c r="D6" s="99"/>
      <c r="E6" s="99"/>
      <c r="F6" s="99"/>
      <c r="G6" s="99"/>
      <c r="H6" s="99"/>
      <c r="I6" s="99"/>
      <c r="J6" s="99"/>
    </row>
    <row r="7" spans="1:14" x14ac:dyDescent="0.2">
      <c r="B7" s="99" t="s">
        <v>32</v>
      </c>
      <c r="C7" s="99"/>
      <c r="D7" s="99"/>
      <c r="E7" s="99"/>
      <c r="F7" s="99"/>
      <c r="G7" s="99"/>
      <c r="H7" s="99"/>
      <c r="I7" s="99"/>
      <c r="J7" s="99"/>
    </row>
    <row r="8" spans="1:14" x14ac:dyDescent="0.2">
      <c r="B8" s="99" t="s">
        <v>17</v>
      </c>
      <c r="C8" s="99"/>
      <c r="D8" s="99"/>
      <c r="E8" s="99"/>
      <c r="F8" s="99"/>
      <c r="G8" s="99"/>
      <c r="H8" s="99"/>
      <c r="I8" s="99"/>
      <c r="J8" s="99"/>
    </row>
    <row r="9" spans="1:14" ht="6.75" customHeight="1" x14ac:dyDescent="0.2"/>
    <row r="10" spans="1:14" ht="6.75" customHeight="1" x14ac:dyDescent="0.2"/>
    <row r="11" spans="1:14" ht="6.75" customHeight="1" x14ac:dyDescent="0.2"/>
    <row r="12" spans="1:14" s="31" customFormat="1" ht="14.25" x14ac:dyDescent="0.2">
      <c r="A12" s="30"/>
      <c r="B12" s="51" t="s">
        <v>35</v>
      </c>
      <c r="K12" s="101"/>
      <c r="L12" s="101"/>
      <c r="M12" s="101"/>
      <c r="N12" s="101"/>
    </row>
    <row r="13" spans="1:14" ht="16.5" customHeight="1" x14ac:dyDescent="0.2">
      <c r="B13" s="52" t="s">
        <v>37</v>
      </c>
      <c r="J13" s="53"/>
    </row>
    <row r="14" spans="1:14" ht="16.5" customHeight="1" x14ac:dyDescent="0.2">
      <c r="B14" s="52" t="s">
        <v>36</v>
      </c>
      <c r="J14" s="53"/>
    </row>
    <row r="15" spans="1:14" ht="16.5" customHeight="1" x14ac:dyDescent="0.2">
      <c r="B15" s="52" t="s">
        <v>39</v>
      </c>
      <c r="J15" s="54"/>
    </row>
    <row r="16" spans="1:14" ht="16.5" customHeight="1" x14ac:dyDescent="0.2">
      <c r="B16" s="52" t="s">
        <v>53</v>
      </c>
      <c r="J16" s="54"/>
    </row>
    <row r="17" spans="2:10" ht="16.5" customHeight="1" x14ac:dyDescent="0.2">
      <c r="B17" s="52" t="s">
        <v>58</v>
      </c>
      <c r="J17" s="54"/>
    </row>
    <row r="18" spans="2:10" ht="16.5" customHeight="1" x14ac:dyDescent="0.2">
      <c r="B18" s="52" t="s">
        <v>64</v>
      </c>
      <c r="J18" s="54"/>
    </row>
    <row r="19" spans="2:10" ht="16.5" customHeight="1" x14ac:dyDescent="0.2">
      <c r="B19" s="52" t="s">
        <v>80</v>
      </c>
      <c r="J19" s="54"/>
    </row>
    <row r="20" spans="2:10" ht="16.5" customHeight="1" x14ac:dyDescent="0.2">
      <c r="B20" s="52" t="s">
        <v>83</v>
      </c>
      <c r="J20" s="54"/>
    </row>
    <row r="21" spans="2:10" ht="16.5" customHeight="1" x14ac:dyDescent="0.2">
      <c r="B21" s="52" t="s">
        <v>90</v>
      </c>
      <c r="J21" s="54"/>
    </row>
    <row r="22" spans="2:10" ht="16.5" customHeight="1" x14ac:dyDescent="0.2">
      <c r="B22" s="52" t="s">
        <v>98</v>
      </c>
      <c r="C22" s="52"/>
      <c r="D22" s="52"/>
      <c r="E22" s="52"/>
      <c r="F22" s="52"/>
      <c r="G22" s="52"/>
      <c r="H22" s="52"/>
      <c r="I22" s="52"/>
      <c r="J22" s="52"/>
    </row>
    <row r="23" spans="2:10" ht="16.5" customHeight="1" x14ac:dyDescent="0.2">
      <c r="B23" s="52" t="s">
        <v>107</v>
      </c>
      <c r="J23" s="54"/>
    </row>
    <row r="24" spans="2:10" ht="16.5" customHeight="1" x14ac:dyDescent="0.2">
      <c r="B24" s="52" t="s">
        <v>123</v>
      </c>
      <c r="J24" s="54"/>
    </row>
    <row r="25" spans="2:10" ht="16.5" customHeight="1" x14ac:dyDescent="0.2">
      <c r="B25" s="52" t="s">
        <v>124</v>
      </c>
      <c r="J25" s="54"/>
    </row>
    <row r="26" spans="2:10" ht="16.5" customHeight="1" x14ac:dyDescent="0.2">
      <c r="B26" s="52" t="s">
        <v>146</v>
      </c>
      <c r="J26" s="54"/>
    </row>
    <row r="27" spans="2:10" ht="16.5" customHeight="1" x14ac:dyDescent="0.2">
      <c r="B27" s="52" t="s">
        <v>155</v>
      </c>
      <c r="J27" s="54"/>
    </row>
    <row r="28" spans="2:10" ht="16.5" customHeight="1" x14ac:dyDescent="0.2">
      <c r="B28" s="52" t="s">
        <v>168</v>
      </c>
      <c r="J28" s="54"/>
    </row>
    <row r="29" spans="2:10" ht="16.5" customHeight="1" x14ac:dyDescent="0.2">
      <c r="B29" s="52" t="s">
        <v>174</v>
      </c>
      <c r="J29" s="54"/>
    </row>
    <row r="30" spans="2:10" ht="16.5" customHeight="1" x14ac:dyDescent="0.2">
      <c r="B30" s="52" t="s">
        <v>178</v>
      </c>
      <c r="J30" s="54"/>
    </row>
    <row r="32" spans="2:10" ht="15" x14ac:dyDescent="0.25">
      <c r="B32" s="93" t="s">
        <v>38</v>
      </c>
      <c r="C32" s="93"/>
      <c r="D32" s="93"/>
      <c r="E32" s="93"/>
      <c r="F32" s="93"/>
      <c r="G32" s="93"/>
      <c r="H32" s="93"/>
      <c r="I32" s="93"/>
      <c r="J32" s="93"/>
    </row>
    <row r="33" spans="1:16" ht="6" customHeight="1" x14ac:dyDescent="0.2">
      <c r="B33" s="1"/>
      <c r="C33" s="1"/>
      <c r="D33" s="1"/>
      <c r="E33" s="1"/>
      <c r="F33" s="1"/>
      <c r="G33" s="1"/>
      <c r="H33" s="1"/>
      <c r="I33" s="1"/>
      <c r="J33" s="1"/>
    </row>
    <row r="34" spans="1:16" x14ac:dyDescent="0.2">
      <c r="B34" s="94" t="s">
        <v>152</v>
      </c>
      <c r="C34" s="94"/>
      <c r="D34" s="94"/>
      <c r="E34" s="94"/>
      <c r="F34" s="94"/>
      <c r="G34" s="94"/>
      <c r="H34" s="94"/>
      <c r="I34" s="94"/>
      <c r="J34" s="94"/>
    </row>
    <row r="35" spans="1:16" ht="25.5" x14ac:dyDescent="0.2">
      <c r="B35" s="95" t="s">
        <v>0</v>
      </c>
      <c r="C35" s="95" t="s">
        <v>7</v>
      </c>
      <c r="D35" s="95" t="s">
        <v>1</v>
      </c>
      <c r="E35" s="95" t="s">
        <v>8</v>
      </c>
      <c r="F35" s="95" t="s">
        <v>18</v>
      </c>
      <c r="G35" s="95" t="s">
        <v>5</v>
      </c>
      <c r="H35" s="95" t="s">
        <v>6</v>
      </c>
      <c r="I35" s="95" t="s">
        <v>2</v>
      </c>
      <c r="J35" s="84" t="s">
        <v>3</v>
      </c>
    </row>
    <row r="36" spans="1:16" x14ac:dyDescent="0.2">
      <c r="B36" s="96"/>
      <c r="C36" s="96"/>
      <c r="D36" s="96"/>
      <c r="E36" s="96"/>
      <c r="F36" s="96"/>
      <c r="G36" s="96"/>
      <c r="H36" s="96"/>
      <c r="I36" s="96"/>
      <c r="J36" s="85">
        <v>45716</v>
      </c>
    </row>
    <row r="37" spans="1:16" x14ac:dyDescent="0.2">
      <c r="B37" s="1"/>
      <c r="C37" s="2"/>
      <c r="D37" s="1"/>
      <c r="E37" s="2"/>
      <c r="F37" s="2"/>
      <c r="G37" s="2"/>
      <c r="H37" s="3"/>
      <c r="I37" s="2"/>
      <c r="J37" s="1"/>
      <c r="L37" s="102"/>
      <c r="N37" s="102"/>
    </row>
    <row r="38" spans="1:16" ht="18" customHeight="1" thickBot="1" x14ac:dyDescent="0.25">
      <c r="A38" s="23" t="s">
        <v>153</v>
      </c>
      <c r="B38" s="4"/>
      <c r="C38" s="2"/>
      <c r="D38" s="1"/>
      <c r="E38" s="14" t="s">
        <v>108</v>
      </c>
      <c r="F38" s="14"/>
      <c r="G38" s="42">
        <f>(G40*62.1134)</f>
        <v>527981.31308748107</v>
      </c>
      <c r="H38" s="42">
        <f>(H40*62.1134)</f>
        <v>160501.02559999999</v>
      </c>
      <c r="I38" s="42">
        <f>(I40*62.1134)</f>
        <v>66158.22460799999</v>
      </c>
      <c r="J38" s="42">
        <f>(J40*62.1134)</f>
        <v>94342.800992000004</v>
      </c>
      <c r="K38" s="102"/>
      <c r="L38" s="102"/>
    </row>
    <row r="39" spans="1:16" s="56" customFormat="1" ht="12.75" customHeight="1" thickTop="1" x14ac:dyDescent="0.2">
      <c r="A39" s="24"/>
      <c r="B39" s="21"/>
      <c r="C39" s="17"/>
      <c r="D39" s="17"/>
      <c r="E39" s="20"/>
      <c r="F39" s="55"/>
      <c r="G39" s="18"/>
      <c r="H39" s="18"/>
      <c r="I39" s="37"/>
      <c r="J39" s="19"/>
      <c r="K39" s="103"/>
      <c r="L39" s="103"/>
      <c r="M39" s="103"/>
      <c r="N39" s="103"/>
      <c r="O39" s="65"/>
      <c r="P39" s="65"/>
    </row>
    <row r="40" spans="1:16" s="56" customFormat="1" ht="15.75" thickBot="1" x14ac:dyDescent="0.3">
      <c r="A40" s="24"/>
      <c r="B40" s="21"/>
      <c r="C40" s="17"/>
      <c r="D40" s="17"/>
      <c r="E40" s="16" t="s">
        <v>21</v>
      </c>
      <c r="F40" s="16"/>
      <c r="G40" s="47">
        <f>SUM(G41:G45)</f>
        <v>8500.2803434924044</v>
      </c>
      <c r="H40" s="47">
        <f>SUM(H41:H45)</f>
        <v>2584</v>
      </c>
      <c r="I40" s="47">
        <f>SUM(I41:I45)</f>
        <v>1065.1199999999999</v>
      </c>
      <c r="J40" s="47">
        <f>SUM(J41:J45)</f>
        <v>1518.88</v>
      </c>
      <c r="K40" s="103"/>
      <c r="L40" s="103"/>
      <c r="M40" s="103"/>
      <c r="N40" s="103"/>
      <c r="O40" s="65"/>
      <c r="P40" s="65"/>
    </row>
    <row r="41" spans="1:16" s="58" customFormat="1" ht="18.75" customHeight="1" thickTop="1" x14ac:dyDescent="0.2">
      <c r="A41" s="29"/>
      <c r="B41" s="21" t="s">
        <v>62</v>
      </c>
      <c r="C41" s="57">
        <v>41121</v>
      </c>
      <c r="D41" s="57">
        <v>45138</v>
      </c>
      <c r="E41" s="20" t="s">
        <v>61</v>
      </c>
      <c r="F41" s="20" t="s">
        <v>20</v>
      </c>
      <c r="G41" s="18">
        <v>500</v>
      </c>
      <c r="H41" s="18">
        <v>500</v>
      </c>
      <c r="I41" s="41">
        <f>IF($J$36&gt;=D41,H41,397.065)</f>
        <v>500</v>
      </c>
      <c r="J41" s="19">
        <f>+H41-I41</f>
        <v>0</v>
      </c>
      <c r="K41" s="104"/>
      <c r="L41" s="104"/>
      <c r="M41" s="104"/>
      <c r="N41" s="104"/>
      <c r="O41" s="92"/>
      <c r="P41" s="92"/>
    </row>
    <row r="42" spans="1:16" s="58" customFormat="1" ht="18.75" customHeight="1" x14ac:dyDescent="0.2">
      <c r="A42" s="29"/>
      <c r="B42" s="21" t="s">
        <v>100</v>
      </c>
      <c r="C42" s="57">
        <v>42719</v>
      </c>
      <c r="D42" s="57">
        <v>46451</v>
      </c>
      <c r="E42" s="44" t="s">
        <v>99</v>
      </c>
      <c r="F42" s="20" t="s">
        <v>20</v>
      </c>
      <c r="G42" s="18">
        <v>100</v>
      </c>
      <c r="H42" s="18">
        <v>95</v>
      </c>
      <c r="I42" s="41">
        <f>IF($J$36&gt;=D42,H42,0)</f>
        <v>0</v>
      </c>
      <c r="J42" s="19">
        <f t="shared" ref="J42:J45" si="0">+H42-I42</f>
        <v>95</v>
      </c>
      <c r="K42" s="104"/>
      <c r="L42" s="104"/>
      <c r="M42" s="104"/>
      <c r="N42" s="104"/>
      <c r="O42" s="92"/>
      <c r="P42" s="92"/>
    </row>
    <row r="43" spans="1:16" s="58" customFormat="1" ht="18.75" customHeight="1" x14ac:dyDescent="0.2">
      <c r="A43" s="29"/>
      <c r="B43" s="21" t="s">
        <v>120</v>
      </c>
      <c r="C43" s="57">
        <v>43826</v>
      </c>
      <c r="D43" s="57">
        <v>46383</v>
      </c>
      <c r="E43" s="44" t="s">
        <v>119</v>
      </c>
      <c r="F43" s="20" t="s">
        <v>20</v>
      </c>
      <c r="G43" s="18">
        <v>600</v>
      </c>
      <c r="H43" s="18">
        <v>600</v>
      </c>
      <c r="I43" s="41">
        <v>565.12</v>
      </c>
      <c r="J43" s="19">
        <f t="shared" si="0"/>
        <v>34.879999999999995</v>
      </c>
      <c r="K43" s="104"/>
      <c r="L43" s="104"/>
      <c r="M43" s="104"/>
      <c r="N43" s="104"/>
      <c r="O43" s="92"/>
      <c r="P43" s="92"/>
    </row>
    <row r="44" spans="1:16" s="58" customFormat="1" ht="18.75" customHeight="1" x14ac:dyDescent="0.2">
      <c r="A44" s="29"/>
      <c r="B44" s="21" t="s">
        <v>139</v>
      </c>
      <c r="C44" s="57">
        <v>44008</v>
      </c>
      <c r="D44" s="57">
        <v>47295</v>
      </c>
      <c r="E44" s="44" t="s">
        <v>138</v>
      </c>
      <c r="F44" s="20" t="s">
        <v>20</v>
      </c>
      <c r="G44" s="18">
        <f>489000000/1000000</f>
        <v>489</v>
      </c>
      <c r="H44" s="18">
        <f>489000000/1000000</f>
        <v>489</v>
      </c>
      <c r="I44" s="41">
        <f>IF($J$36&gt;=D44,H44,0)</f>
        <v>0</v>
      </c>
      <c r="J44" s="19">
        <f t="shared" si="0"/>
        <v>489</v>
      </c>
      <c r="K44" s="104"/>
      <c r="L44" s="104"/>
      <c r="M44" s="104"/>
      <c r="N44" s="104"/>
      <c r="O44" s="92"/>
      <c r="P44" s="92"/>
    </row>
    <row r="45" spans="1:16" s="58" customFormat="1" ht="18.75" customHeight="1" x14ac:dyDescent="0.2">
      <c r="A45" s="29"/>
      <c r="B45" s="21" t="s">
        <v>143</v>
      </c>
      <c r="C45" s="57">
        <v>44036</v>
      </c>
      <c r="D45" s="57">
        <v>51341</v>
      </c>
      <c r="E45" s="44" t="s">
        <v>141</v>
      </c>
      <c r="F45" s="20" t="s">
        <v>20</v>
      </c>
      <c r="G45" s="18">
        <v>6811.2803434924044</v>
      </c>
      <c r="H45" s="18">
        <v>900</v>
      </c>
      <c r="I45" s="41">
        <f>IF($J$36&gt;=D45,H45,0)</f>
        <v>0</v>
      </c>
      <c r="J45" s="19">
        <f t="shared" si="0"/>
        <v>900</v>
      </c>
      <c r="K45" s="104"/>
      <c r="L45" s="104"/>
      <c r="M45" s="104"/>
      <c r="N45" s="104"/>
      <c r="O45" s="92"/>
      <c r="P45" s="92"/>
    </row>
    <row r="46" spans="1:16" ht="7.5" customHeight="1" thickBot="1" x14ac:dyDescent="0.25">
      <c r="B46" s="59"/>
      <c r="C46" s="59"/>
      <c r="D46" s="59"/>
      <c r="E46" s="59"/>
      <c r="F46" s="59"/>
      <c r="G46" s="59"/>
      <c r="H46" s="59"/>
      <c r="I46" s="59"/>
      <c r="J46" s="59"/>
    </row>
    <row r="47" spans="1:16" x14ac:dyDescent="0.2">
      <c r="B47" s="87" t="s">
        <v>142</v>
      </c>
      <c r="C47" s="69"/>
      <c r="D47" s="69"/>
      <c r="E47" s="69"/>
      <c r="F47" s="69"/>
      <c r="G47" s="69"/>
      <c r="H47" s="69"/>
      <c r="I47" s="69"/>
      <c r="J47" s="69"/>
    </row>
    <row r="48" spans="1:16" s="62" customFormat="1" x14ac:dyDescent="0.2">
      <c r="A48" s="23"/>
      <c r="B48" s="8"/>
      <c r="C48" s="9"/>
      <c r="D48" s="9"/>
      <c r="E48" s="7"/>
      <c r="F48" s="38"/>
      <c r="G48" s="38"/>
      <c r="H48" s="60"/>
      <c r="I48" s="6"/>
      <c r="J48" s="61"/>
      <c r="K48" s="100"/>
      <c r="L48" s="100"/>
      <c r="M48" s="100"/>
      <c r="N48" s="100"/>
      <c r="O48" s="49"/>
      <c r="P48" s="49"/>
    </row>
    <row r="49" spans="1:16" s="62" customFormat="1" x14ac:dyDescent="0.2">
      <c r="A49" s="23"/>
      <c r="B49" s="8"/>
      <c r="C49" s="9"/>
      <c r="D49" s="9"/>
      <c r="E49" s="7"/>
      <c r="F49" s="38"/>
      <c r="G49" s="38"/>
      <c r="H49" s="60"/>
      <c r="I49" s="6"/>
      <c r="J49" s="61"/>
      <c r="K49" s="100"/>
      <c r="L49" s="100"/>
      <c r="M49" s="100"/>
      <c r="N49" s="100"/>
      <c r="O49" s="49"/>
      <c r="P49" s="49"/>
    </row>
    <row r="50" spans="1:16" s="62" customFormat="1" ht="15" x14ac:dyDescent="0.25">
      <c r="A50" s="23"/>
      <c r="B50" s="93" t="s">
        <v>131</v>
      </c>
      <c r="C50" s="93"/>
      <c r="D50" s="93"/>
      <c r="E50" s="93"/>
      <c r="F50" s="93"/>
      <c r="G50" s="93"/>
      <c r="H50" s="93"/>
      <c r="I50" s="93"/>
      <c r="J50" s="93"/>
      <c r="K50" s="100"/>
      <c r="L50" s="100"/>
      <c r="M50" s="100"/>
      <c r="N50" s="100"/>
      <c r="O50" s="49"/>
      <c r="P50" s="49"/>
    </row>
    <row r="51" spans="1:16" s="62" customFormat="1" x14ac:dyDescent="0.2">
      <c r="A51" s="23"/>
      <c r="B51" s="1"/>
      <c r="C51" s="1"/>
      <c r="D51" s="1"/>
      <c r="E51" s="1"/>
      <c r="F51" s="1"/>
      <c r="G51" s="1"/>
      <c r="H51" s="1"/>
      <c r="I51" s="1"/>
      <c r="J51" s="1"/>
      <c r="K51" s="100"/>
      <c r="L51" s="100"/>
      <c r="M51" s="100"/>
      <c r="N51" s="100"/>
      <c r="O51" s="49"/>
      <c r="P51" s="49"/>
    </row>
    <row r="52" spans="1:16" s="62" customFormat="1" ht="12.75" customHeight="1" x14ac:dyDescent="0.2">
      <c r="A52" s="23"/>
      <c r="B52" s="94" t="s">
        <v>152</v>
      </c>
      <c r="C52" s="94"/>
      <c r="D52" s="94"/>
      <c r="E52" s="94"/>
      <c r="F52" s="94"/>
      <c r="G52" s="94"/>
      <c r="H52" s="94"/>
      <c r="I52" s="94"/>
      <c r="J52" s="94"/>
      <c r="K52" s="100"/>
      <c r="L52" s="100"/>
      <c r="M52" s="100"/>
      <c r="N52" s="100"/>
      <c r="O52" s="49"/>
      <c r="P52" s="49"/>
    </row>
    <row r="53" spans="1:16" s="62" customFormat="1" ht="25.5" x14ac:dyDescent="0.2">
      <c r="A53" s="23"/>
      <c r="B53" s="95" t="s">
        <v>0</v>
      </c>
      <c r="C53" s="95" t="s">
        <v>7</v>
      </c>
      <c r="D53" s="95" t="s">
        <v>1</v>
      </c>
      <c r="E53" s="95" t="s">
        <v>8</v>
      </c>
      <c r="F53" s="95" t="s">
        <v>18</v>
      </c>
      <c r="G53" s="95" t="s">
        <v>5</v>
      </c>
      <c r="H53" s="95" t="s">
        <v>6</v>
      </c>
      <c r="I53" s="95" t="s">
        <v>2</v>
      </c>
      <c r="J53" s="84" t="s">
        <v>3</v>
      </c>
      <c r="K53" s="100"/>
      <c r="L53" s="100"/>
      <c r="M53" s="100"/>
      <c r="N53" s="100"/>
      <c r="O53" s="49"/>
      <c r="P53" s="49"/>
    </row>
    <row r="54" spans="1:16" s="62" customFormat="1" x14ac:dyDescent="0.2">
      <c r="A54" s="23"/>
      <c r="B54" s="96"/>
      <c r="C54" s="96"/>
      <c r="D54" s="96"/>
      <c r="E54" s="96"/>
      <c r="F54" s="96"/>
      <c r="G54" s="96"/>
      <c r="H54" s="96"/>
      <c r="I54" s="96"/>
      <c r="J54" s="85">
        <f>+J36</f>
        <v>45716</v>
      </c>
      <c r="K54" s="100"/>
      <c r="L54" s="100"/>
      <c r="M54" s="100"/>
      <c r="N54" s="100"/>
      <c r="O54" s="49"/>
      <c r="P54" s="49"/>
    </row>
    <row r="55" spans="1:16" s="62" customFormat="1" x14ac:dyDescent="0.2">
      <c r="A55" s="23"/>
      <c r="B55" s="1"/>
      <c r="C55" s="2"/>
      <c r="D55" s="1"/>
      <c r="E55" s="2"/>
      <c r="F55" s="2"/>
      <c r="G55" s="2"/>
      <c r="H55" s="3"/>
      <c r="I55" s="2"/>
      <c r="J55" s="1"/>
      <c r="K55" s="100"/>
      <c r="L55" s="100"/>
      <c r="M55" s="100"/>
      <c r="N55" s="100"/>
      <c r="O55" s="49"/>
      <c r="P55" s="49"/>
    </row>
    <row r="56" spans="1:16" s="62" customFormat="1" ht="15" thickBot="1" x14ac:dyDescent="0.25">
      <c r="A56" s="23" t="s">
        <v>153</v>
      </c>
      <c r="B56" s="4"/>
      <c r="C56" s="2"/>
      <c r="D56" s="1"/>
      <c r="E56" s="14" t="s">
        <v>108</v>
      </c>
      <c r="F56" s="14"/>
      <c r="G56" s="42">
        <f>(G58*62.1134)</f>
        <v>30746.132999999998</v>
      </c>
      <c r="H56" s="42">
        <f>(H58*62.1134)</f>
        <v>30746.132999999998</v>
      </c>
      <c r="I56" s="42">
        <f>(I58*62.1134)</f>
        <v>30746.132999999998</v>
      </c>
      <c r="J56" s="42">
        <f t="shared" ref="J56" si="1">(J58*58.5334)</f>
        <v>0</v>
      </c>
      <c r="K56" s="100"/>
      <c r="L56" s="100"/>
      <c r="M56" s="100"/>
      <c r="N56" s="100"/>
      <c r="O56" s="49"/>
      <c r="P56" s="49"/>
    </row>
    <row r="57" spans="1:16" s="62" customFormat="1" ht="13.5" thickTop="1" x14ac:dyDescent="0.2">
      <c r="A57" s="23"/>
      <c r="B57" s="21"/>
      <c r="C57" s="17"/>
      <c r="D57" s="17"/>
      <c r="E57" s="20"/>
      <c r="F57" s="55"/>
      <c r="G57" s="18"/>
      <c r="H57" s="18"/>
      <c r="I57" s="37"/>
      <c r="J57" s="19"/>
      <c r="K57" s="100"/>
      <c r="L57" s="100"/>
      <c r="M57" s="100"/>
      <c r="N57" s="100"/>
      <c r="O57" s="49"/>
      <c r="P57" s="49"/>
    </row>
    <row r="58" spans="1:16" s="62" customFormat="1" ht="15.75" thickBot="1" x14ac:dyDescent="0.3">
      <c r="A58" s="23"/>
      <c r="B58" s="21"/>
      <c r="C58" s="17"/>
      <c r="D58" s="17"/>
      <c r="E58" s="16" t="s">
        <v>21</v>
      </c>
      <c r="F58" s="16"/>
      <c r="G58" s="46">
        <f>G59+G60+G61</f>
        <v>495</v>
      </c>
      <c r="H58" s="46">
        <f>H59+H60+H61</f>
        <v>495</v>
      </c>
      <c r="I58" s="47">
        <v>495</v>
      </c>
      <c r="J58" s="46">
        <f>J59+J60+J61</f>
        <v>0</v>
      </c>
      <c r="K58" s="100"/>
      <c r="L58" s="100"/>
      <c r="M58" s="100"/>
      <c r="N58" s="100"/>
      <c r="O58" s="49"/>
      <c r="P58" s="49"/>
    </row>
    <row r="59" spans="1:16" s="62" customFormat="1" ht="13.5" thickTop="1" x14ac:dyDescent="0.2">
      <c r="A59" s="23"/>
      <c r="B59" s="21" t="s">
        <v>130</v>
      </c>
      <c r="C59" s="57">
        <v>43829</v>
      </c>
      <c r="D59" s="57">
        <v>46382</v>
      </c>
      <c r="E59" s="20" t="s">
        <v>129</v>
      </c>
      <c r="F59" s="20" t="s">
        <v>20</v>
      </c>
      <c r="G59" s="18">
        <v>495</v>
      </c>
      <c r="H59" s="18">
        <v>495</v>
      </c>
      <c r="I59" s="41">
        <v>495</v>
      </c>
      <c r="J59" s="19">
        <f>+H59-I59</f>
        <v>0</v>
      </c>
      <c r="K59" s="100"/>
      <c r="L59" s="100"/>
      <c r="M59" s="100"/>
      <c r="N59" s="100"/>
      <c r="O59" s="49"/>
      <c r="P59" s="49"/>
    </row>
    <row r="60" spans="1:16" s="62" customFormat="1" x14ac:dyDescent="0.2">
      <c r="A60" s="23"/>
      <c r="B60" s="8"/>
      <c r="C60" s="9"/>
      <c r="D60" s="9"/>
      <c r="E60" s="7"/>
      <c r="F60" s="38"/>
      <c r="G60" s="38"/>
      <c r="H60" s="60"/>
      <c r="I60" s="6"/>
      <c r="J60" s="61"/>
      <c r="K60" s="100"/>
      <c r="L60" s="100"/>
      <c r="M60" s="100"/>
      <c r="N60" s="100"/>
      <c r="O60" s="49"/>
      <c r="P60" s="49"/>
    </row>
    <row r="61" spans="1:16" s="62" customFormat="1" x14ac:dyDescent="0.2">
      <c r="A61" s="23"/>
      <c r="B61" s="8"/>
      <c r="C61" s="9"/>
      <c r="D61" s="9"/>
      <c r="E61" s="7"/>
      <c r="F61" s="38"/>
      <c r="G61" s="38"/>
      <c r="H61" s="60"/>
      <c r="I61" s="6"/>
      <c r="J61" s="61"/>
      <c r="K61" s="100"/>
      <c r="L61" s="100"/>
      <c r="M61" s="100"/>
      <c r="N61" s="100"/>
      <c r="O61" s="49"/>
      <c r="P61" s="49"/>
    </row>
    <row r="62" spans="1:16" s="62" customFormat="1" ht="15" x14ac:dyDescent="0.25">
      <c r="A62" s="23"/>
      <c r="B62" s="93" t="s">
        <v>29</v>
      </c>
      <c r="C62" s="93"/>
      <c r="D62" s="93"/>
      <c r="E62" s="93"/>
      <c r="F62" s="93"/>
      <c r="G62" s="93"/>
      <c r="H62" s="93"/>
      <c r="I62" s="93"/>
      <c r="J62" s="93"/>
      <c r="K62" s="100"/>
      <c r="L62" s="100"/>
      <c r="M62" s="100"/>
      <c r="N62" s="100"/>
      <c r="O62" s="49"/>
      <c r="P62" s="49"/>
    </row>
    <row r="63" spans="1:16" s="62" customFormat="1" x14ac:dyDescent="0.2">
      <c r="A63" s="23"/>
      <c r="B63" s="1"/>
      <c r="C63" s="1"/>
      <c r="D63" s="1"/>
      <c r="E63" s="1"/>
      <c r="F63" s="1"/>
      <c r="G63" s="1"/>
      <c r="H63" s="1"/>
      <c r="I63" s="1"/>
      <c r="J63" s="61"/>
      <c r="K63" s="100"/>
      <c r="L63" s="100"/>
      <c r="M63" s="100"/>
      <c r="N63" s="100"/>
      <c r="O63" s="49"/>
      <c r="P63" s="49"/>
    </row>
    <row r="64" spans="1:16" s="62" customFormat="1" ht="12.75" customHeight="1" x14ac:dyDescent="0.2">
      <c r="A64" s="23"/>
      <c r="B64" s="94" t="s">
        <v>4</v>
      </c>
      <c r="C64" s="94"/>
      <c r="D64" s="94"/>
      <c r="E64" s="94"/>
      <c r="F64" s="94"/>
      <c r="G64" s="94"/>
      <c r="H64" s="94"/>
      <c r="I64" s="94"/>
      <c r="J64" s="94"/>
      <c r="K64" s="100"/>
      <c r="L64" s="100"/>
      <c r="M64" s="100"/>
      <c r="N64" s="100"/>
      <c r="O64" s="49"/>
      <c r="P64" s="49"/>
    </row>
    <row r="65" spans="1:16" s="62" customFormat="1" ht="25.5" x14ac:dyDescent="0.2">
      <c r="A65" s="23"/>
      <c r="B65" s="95" t="s">
        <v>10</v>
      </c>
      <c r="C65" s="95" t="s">
        <v>7</v>
      </c>
      <c r="D65" s="95" t="s">
        <v>1</v>
      </c>
      <c r="E65" s="95" t="s">
        <v>8</v>
      </c>
      <c r="F65" s="95" t="s">
        <v>18</v>
      </c>
      <c r="G65" s="95" t="s">
        <v>14</v>
      </c>
      <c r="H65" s="95" t="s">
        <v>6</v>
      </c>
      <c r="I65" s="95" t="s">
        <v>2</v>
      </c>
      <c r="J65" s="84" t="s">
        <v>3</v>
      </c>
      <c r="K65" s="100"/>
      <c r="L65" s="100"/>
      <c r="M65" s="100"/>
      <c r="N65" s="100"/>
      <c r="O65" s="49"/>
      <c r="P65" s="49"/>
    </row>
    <row r="66" spans="1:16" s="62" customFormat="1" x14ac:dyDescent="0.2">
      <c r="A66" s="23"/>
      <c r="B66" s="96"/>
      <c r="C66" s="96"/>
      <c r="D66" s="96"/>
      <c r="E66" s="96"/>
      <c r="F66" s="96"/>
      <c r="G66" s="96"/>
      <c r="H66" s="96"/>
      <c r="I66" s="96"/>
      <c r="J66" s="85">
        <f>+J36</f>
        <v>45716</v>
      </c>
      <c r="K66" s="100"/>
      <c r="L66" s="100"/>
      <c r="M66" s="100"/>
      <c r="N66" s="100"/>
      <c r="O66" s="49"/>
      <c r="P66" s="49"/>
    </row>
    <row r="67" spans="1:16" s="62" customFormat="1" x14ac:dyDescent="0.2">
      <c r="A67" s="23"/>
      <c r="B67" s="2"/>
      <c r="C67" s="2"/>
      <c r="D67" s="2"/>
      <c r="E67" s="2"/>
      <c r="F67" s="2"/>
      <c r="G67" s="2"/>
      <c r="H67" s="2"/>
      <c r="I67" s="2"/>
      <c r="J67" s="10"/>
      <c r="K67" s="100"/>
      <c r="L67" s="100"/>
      <c r="M67" s="100"/>
      <c r="N67" s="100"/>
      <c r="O67" s="49"/>
      <c r="P67" s="49"/>
    </row>
    <row r="68" spans="1:16" s="62" customFormat="1" ht="15.75" thickBot="1" x14ac:dyDescent="0.3">
      <c r="A68" s="23" t="s">
        <v>153</v>
      </c>
      <c r="B68" s="2"/>
      <c r="C68" s="2"/>
      <c r="D68" s="2"/>
      <c r="E68" s="14" t="s">
        <v>22</v>
      </c>
      <c r="F68" s="5"/>
      <c r="G68" s="15">
        <v>320000</v>
      </c>
      <c r="H68" s="15">
        <f>SUM(H69:H81)</f>
        <v>132361.90000000002</v>
      </c>
      <c r="I68" s="15">
        <f>SUM(I69:I81)</f>
        <v>0</v>
      </c>
      <c r="J68" s="15">
        <f>SUM(J69:J79)</f>
        <v>132361.90000000002</v>
      </c>
      <c r="K68" s="100"/>
      <c r="L68" s="100"/>
      <c r="M68" s="100"/>
      <c r="N68" s="100"/>
      <c r="O68" s="49"/>
      <c r="P68" s="49"/>
    </row>
    <row r="69" spans="1:16" s="62" customFormat="1" ht="13.5" thickTop="1" x14ac:dyDescent="0.2">
      <c r="A69" s="23"/>
      <c r="B69" s="63" t="s">
        <v>12</v>
      </c>
      <c r="C69" s="57">
        <v>45230</v>
      </c>
      <c r="D69" s="57">
        <v>47057</v>
      </c>
      <c r="E69" s="45" t="s">
        <v>170</v>
      </c>
      <c r="F69" s="64" t="s">
        <v>19</v>
      </c>
      <c r="G69" s="65"/>
      <c r="H69" s="66">
        <v>5000</v>
      </c>
      <c r="I69" s="83">
        <f>IF($J$66&gt;=D69,H69,0)</f>
        <v>0</v>
      </c>
      <c r="J69" s="64">
        <f>H69-I69</f>
        <v>5000</v>
      </c>
      <c r="K69" s="100"/>
      <c r="L69" s="100"/>
      <c r="M69" s="100"/>
      <c r="N69" s="100"/>
      <c r="O69" s="49"/>
      <c r="P69" s="49"/>
    </row>
    <row r="70" spans="1:16" s="56" customFormat="1" ht="14.25" customHeight="1" x14ac:dyDescent="0.2">
      <c r="A70" s="24" t="s">
        <v>24</v>
      </c>
      <c r="B70" s="63" t="s">
        <v>12</v>
      </c>
      <c r="C70" s="57">
        <v>45291</v>
      </c>
      <c r="D70" s="57">
        <v>47118</v>
      </c>
      <c r="E70" s="67" t="s">
        <v>161</v>
      </c>
      <c r="F70" s="68" t="s">
        <v>19</v>
      </c>
      <c r="G70" s="68"/>
      <c r="H70" s="66">
        <v>20000</v>
      </c>
      <c r="I70" s="83">
        <f t="shared" ref="I70:I79" si="2">IF($J$66&gt;=D70,H70,0)</f>
        <v>0</v>
      </c>
      <c r="J70" s="68">
        <f>+H70-I70</f>
        <v>20000</v>
      </c>
      <c r="K70" s="103"/>
      <c r="L70" s="103"/>
      <c r="M70" s="103"/>
      <c r="N70" s="103"/>
      <c r="O70" s="65"/>
      <c r="P70" s="65"/>
    </row>
    <row r="71" spans="1:16" s="56" customFormat="1" ht="14.25" customHeight="1" x14ac:dyDescent="0.2">
      <c r="A71" s="24" t="s">
        <v>26</v>
      </c>
      <c r="B71" s="63" t="s">
        <v>12</v>
      </c>
      <c r="C71" s="57">
        <v>45291</v>
      </c>
      <c r="D71" s="57">
        <v>47118</v>
      </c>
      <c r="E71" s="67" t="s">
        <v>161</v>
      </c>
      <c r="F71" s="68" t="s">
        <v>19</v>
      </c>
      <c r="G71" s="68"/>
      <c r="H71" s="88">
        <v>7079.3</v>
      </c>
      <c r="I71" s="83">
        <f t="shared" si="2"/>
        <v>0</v>
      </c>
      <c r="J71" s="68">
        <f t="shared" ref="J71" si="3">+H71-I71</f>
        <v>7079.3</v>
      </c>
      <c r="K71" s="103"/>
      <c r="L71" s="103"/>
      <c r="M71" s="103"/>
      <c r="N71" s="103"/>
      <c r="O71" s="65"/>
      <c r="P71" s="65"/>
    </row>
    <row r="72" spans="1:16" x14ac:dyDescent="0.2">
      <c r="B72" s="63" t="s">
        <v>13</v>
      </c>
      <c r="C72" s="57">
        <v>44561</v>
      </c>
      <c r="D72" s="57">
        <v>47118</v>
      </c>
      <c r="E72" s="45" t="s">
        <v>154</v>
      </c>
      <c r="F72" s="64" t="s">
        <v>19</v>
      </c>
      <c r="G72" s="65"/>
      <c r="H72" s="66">
        <v>10116</v>
      </c>
      <c r="I72" s="83">
        <f t="shared" si="2"/>
        <v>0</v>
      </c>
      <c r="J72" s="71">
        <f t="shared" ref="J72:J78" si="4">+H72-I72</f>
        <v>10116</v>
      </c>
    </row>
    <row r="73" spans="1:16" s="62" customFormat="1" x14ac:dyDescent="0.2">
      <c r="A73" s="23"/>
      <c r="B73" s="69" t="s">
        <v>13</v>
      </c>
      <c r="C73" s="57">
        <v>44864</v>
      </c>
      <c r="D73" s="57">
        <v>47421</v>
      </c>
      <c r="E73" s="48" t="s">
        <v>163</v>
      </c>
      <c r="F73" s="70" t="s">
        <v>19</v>
      </c>
      <c r="G73" s="70"/>
      <c r="H73" s="72">
        <v>3826.7</v>
      </c>
      <c r="I73" s="83">
        <f t="shared" si="2"/>
        <v>0</v>
      </c>
      <c r="J73" s="70">
        <f t="shared" si="4"/>
        <v>3826.7</v>
      </c>
      <c r="K73" s="100"/>
      <c r="L73" s="100"/>
      <c r="M73" s="100"/>
      <c r="N73" s="100"/>
      <c r="O73" s="49"/>
      <c r="P73" s="49"/>
    </row>
    <row r="74" spans="1:16" s="62" customFormat="1" x14ac:dyDescent="0.2">
      <c r="A74" s="23"/>
      <c r="B74" s="69" t="s">
        <v>13</v>
      </c>
      <c r="C74" s="57">
        <v>44926</v>
      </c>
      <c r="D74" s="57">
        <v>47483</v>
      </c>
      <c r="E74" s="48" t="s">
        <v>163</v>
      </c>
      <c r="F74" s="70" t="s">
        <v>19</v>
      </c>
      <c r="G74" s="70"/>
      <c r="H74" s="54">
        <v>7079.3</v>
      </c>
      <c r="I74" s="83">
        <f t="shared" si="2"/>
        <v>0</v>
      </c>
      <c r="J74" s="70">
        <f t="shared" si="4"/>
        <v>7079.3</v>
      </c>
      <c r="K74" s="102"/>
      <c r="L74" s="100"/>
      <c r="M74" s="100"/>
      <c r="N74" s="100"/>
      <c r="O74" s="49"/>
      <c r="P74" s="49"/>
    </row>
    <row r="75" spans="1:16" s="56" customFormat="1" ht="14.25" customHeight="1" x14ac:dyDescent="0.2">
      <c r="A75" s="24" t="s">
        <v>25</v>
      </c>
      <c r="B75" s="63" t="s">
        <v>11</v>
      </c>
      <c r="C75" s="57">
        <v>45199</v>
      </c>
      <c r="D75" s="57">
        <v>46295</v>
      </c>
      <c r="E75" s="45" t="s">
        <v>171</v>
      </c>
      <c r="F75" s="64" t="s">
        <v>19</v>
      </c>
      <c r="G75" s="64"/>
      <c r="H75" s="66">
        <v>4639.3</v>
      </c>
      <c r="I75" s="83">
        <f t="shared" si="2"/>
        <v>0</v>
      </c>
      <c r="J75" s="64">
        <f>+H75-I75</f>
        <v>4639.3</v>
      </c>
      <c r="K75" s="103"/>
      <c r="L75" s="103"/>
      <c r="M75" s="103"/>
      <c r="N75" s="103"/>
      <c r="O75" s="65"/>
      <c r="P75" s="65"/>
    </row>
    <row r="76" spans="1:16" s="56" customFormat="1" x14ac:dyDescent="0.2">
      <c r="A76" s="24" t="s">
        <v>28</v>
      </c>
      <c r="B76" s="63" t="s">
        <v>11</v>
      </c>
      <c r="C76" s="57">
        <v>45230</v>
      </c>
      <c r="D76" s="57">
        <v>46326</v>
      </c>
      <c r="E76" s="45" t="s">
        <v>169</v>
      </c>
      <c r="F76" s="64" t="s">
        <v>19</v>
      </c>
      <c r="G76" s="64"/>
      <c r="H76" s="66">
        <v>5000</v>
      </c>
      <c r="I76" s="83">
        <f t="shared" si="2"/>
        <v>0</v>
      </c>
      <c r="J76" s="64">
        <f t="shared" si="4"/>
        <v>5000</v>
      </c>
      <c r="K76" s="103"/>
      <c r="L76" s="103"/>
      <c r="M76" s="103"/>
      <c r="N76" s="103"/>
      <c r="O76" s="65"/>
      <c r="P76" s="65"/>
    </row>
    <row r="77" spans="1:16" s="56" customFormat="1" x14ac:dyDescent="0.2">
      <c r="A77" s="24"/>
      <c r="B77" s="63" t="s">
        <v>11</v>
      </c>
      <c r="C77" s="57">
        <v>44810</v>
      </c>
      <c r="D77" s="57">
        <v>45906</v>
      </c>
      <c r="E77" s="48" t="s">
        <v>162</v>
      </c>
      <c r="F77" s="70" t="s">
        <v>19</v>
      </c>
      <c r="G77" s="70"/>
      <c r="H77" s="72">
        <v>39621.300000000003</v>
      </c>
      <c r="I77" s="83">
        <f t="shared" si="2"/>
        <v>0</v>
      </c>
      <c r="J77" s="70">
        <f t="shared" si="4"/>
        <v>39621.300000000003</v>
      </c>
      <c r="K77" s="103"/>
      <c r="L77" s="103"/>
      <c r="M77" s="103"/>
      <c r="N77" s="103"/>
      <c r="O77" s="65"/>
      <c r="P77" s="65"/>
    </row>
    <row r="78" spans="1:16" s="56" customFormat="1" x14ac:dyDescent="0.2">
      <c r="A78" s="24"/>
      <c r="B78" s="63" t="s">
        <v>11</v>
      </c>
      <c r="C78" s="57">
        <v>44894</v>
      </c>
      <c r="D78" s="57">
        <v>45990</v>
      </c>
      <c r="E78" s="48" t="s">
        <v>164</v>
      </c>
      <c r="F78" s="70" t="s">
        <v>19</v>
      </c>
      <c r="G78" s="70"/>
      <c r="H78" s="72">
        <v>10000</v>
      </c>
      <c r="I78" s="83">
        <f t="shared" si="2"/>
        <v>0</v>
      </c>
      <c r="J78" s="70">
        <f t="shared" si="4"/>
        <v>10000</v>
      </c>
      <c r="K78" s="103"/>
      <c r="L78" s="103"/>
      <c r="M78" s="103"/>
      <c r="N78" s="103"/>
      <c r="O78" s="65"/>
      <c r="P78" s="65"/>
    </row>
    <row r="79" spans="1:16" s="56" customFormat="1" x14ac:dyDescent="0.2">
      <c r="A79" s="24"/>
      <c r="B79" s="63" t="s">
        <v>11</v>
      </c>
      <c r="C79" s="57">
        <v>44926</v>
      </c>
      <c r="D79" s="57">
        <v>46022</v>
      </c>
      <c r="E79" s="48" t="s">
        <v>164</v>
      </c>
      <c r="F79" s="70" t="s">
        <v>19</v>
      </c>
      <c r="G79" s="70"/>
      <c r="H79" s="72">
        <v>20000</v>
      </c>
      <c r="I79" s="83">
        <f t="shared" si="2"/>
        <v>0</v>
      </c>
      <c r="J79" s="70">
        <f>+H79-I79</f>
        <v>20000</v>
      </c>
      <c r="K79" s="105"/>
      <c r="L79" s="103"/>
      <c r="M79" s="103"/>
      <c r="N79" s="103"/>
      <c r="O79" s="65"/>
      <c r="P79" s="65"/>
    </row>
    <row r="80" spans="1:16" s="56" customFormat="1" ht="14.25" customHeight="1" x14ac:dyDescent="0.2">
      <c r="A80" s="24" t="s">
        <v>27</v>
      </c>
      <c r="K80" s="103"/>
      <c r="L80" s="103"/>
      <c r="M80" s="103"/>
      <c r="N80" s="103"/>
      <c r="O80" s="65"/>
      <c r="P80" s="65"/>
    </row>
    <row r="81" spans="1:16" s="62" customFormat="1" ht="12.75" customHeight="1" x14ac:dyDescent="0.2">
      <c r="A81" s="23"/>
      <c r="K81" s="100"/>
      <c r="L81" s="100"/>
      <c r="M81" s="100"/>
      <c r="N81" s="100"/>
      <c r="O81" s="49"/>
      <c r="P81" s="49"/>
    </row>
    <row r="82" spans="1:16" s="62" customFormat="1" x14ac:dyDescent="0.2">
      <c r="A82" s="23"/>
      <c r="K82" s="100"/>
      <c r="L82" s="100"/>
      <c r="M82" s="100"/>
      <c r="N82" s="100"/>
      <c r="O82" s="49"/>
      <c r="P82" s="49"/>
    </row>
    <row r="83" spans="1:16" s="62" customFormat="1" ht="15" x14ac:dyDescent="0.25">
      <c r="A83" s="23"/>
      <c r="B83" s="93" t="s">
        <v>40</v>
      </c>
      <c r="C83" s="93"/>
      <c r="D83" s="93"/>
      <c r="E83" s="93"/>
      <c r="F83" s="93"/>
      <c r="G83" s="93"/>
      <c r="H83" s="93"/>
      <c r="I83" s="93"/>
      <c r="J83" s="93"/>
      <c r="K83" s="100"/>
      <c r="L83" s="100"/>
      <c r="M83" s="100"/>
      <c r="N83" s="100"/>
      <c r="O83" s="49"/>
      <c r="P83" s="49"/>
    </row>
    <row r="84" spans="1:16" s="62" customFormat="1" x14ac:dyDescent="0.2">
      <c r="A84" s="23"/>
      <c r="B84" s="1"/>
      <c r="C84" s="1"/>
      <c r="D84" s="1"/>
      <c r="E84" s="1"/>
      <c r="F84" s="1"/>
      <c r="G84" s="1"/>
      <c r="H84" s="1"/>
      <c r="I84" s="1"/>
      <c r="J84" s="61"/>
      <c r="K84" s="100"/>
      <c r="L84" s="100"/>
      <c r="M84" s="100"/>
      <c r="N84" s="100"/>
      <c r="O84" s="49"/>
      <c r="P84" s="49"/>
    </row>
    <row r="85" spans="1:16" s="62" customFormat="1" x14ac:dyDescent="0.2">
      <c r="A85" s="23"/>
      <c r="B85" s="94" t="s">
        <v>4</v>
      </c>
      <c r="C85" s="94"/>
      <c r="D85" s="94"/>
      <c r="E85" s="94"/>
      <c r="F85" s="94"/>
      <c r="G85" s="94"/>
      <c r="H85" s="94"/>
      <c r="I85" s="94"/>
      <c r="J85" s="94"/>
      <c r="K85" s="100"/>
      <c r="L85" s="100"/>
      <c r="M85" s="100"/>
      <c r="N85" s="100"/>
      <c r="O85" s="49"/>
      <c r="P85" s="49"/>
    </row>
    <row r="86" spans="1:16" s="62" customFormat="1" ht="25.5" x14ac:dyDescent="0.2">
      <c r="A86" s="23"/>
      <c r="B86" s="95" t="s">
        <v>0</v>
      </c>
      <c r="C86" s="95" t="s">
        <v>31</v>
      </c>
      <c r="D86" s="95" t="s">
        <v>1</v>
      </c>
      <c r="E86" s="95" t="s">
        <v>8</v>
      </c>
      <c r="F86" s="95" t="s">
        <v>18</v>
      </c>
      <c r="G86" s="95" t="s">
        <v>14</v>
      </c>
      <c r="H86" s="95" t="s">
        <v>6</v>
      </c>
      <c r="I86" s="95" t="s">
        <v>2</v>
      </c>
      <c r="J86" s="84" t="s">
        <v>3</v>
      </c>
      <c r="K86" s="100"/>
      <c r="L86" s="100"/>
      <c r="M86" s="100"/>
      <c r="N86" s="100"/>
      <c r="O86" s="49"/>
      <c r="P86" s="49"/>
    </row>
    <row r="87" spans="1:16" s="56" customFormat="1" ht="14.25" customHeight="1" x14ac:dyDescent="0.2">
      <c r="A87" s="24"/>
      <c r="B87" s="96"/>
      <c r="C87" s="96"/>
      <c r="D87" s="96"/>
      <c r="E87" s="96"/>
      <c r="F87" s="96"/>
      <c r="G87" s="96"/>
      <c r="H87" s="96"/>
      <c r="I87" s="96"/>
      <c r="J87" s="85">
        <f>+J66</f>
        <v>45716</v>
      </c>
      <c r="K87" s="103"/>
      <c r="L87" s="103"/>
      <c r="M87" s="103"/>
      <c r="N87" s="103"/>
      <c r="O87" s="65"/>
      <c r="P87" s="65"/>
    </row>
    <row r="88" spans="1:16" s="56" customFormat="1" ht="14.25" customHeight="1" x14ac:dyDescent="0.2">
      <c r="A88" s="24"/>
      <c r="B88" s="2"/>
      <c r="C88" s="2"/>
      <c r="D88" s="2"/>
      <c r="E88" s="2"/>
      <c r="F88" s="2"/>
      <c r="G88" s="2"/>
      <c r="H88" s="2"/>
      <c r="I88" s="2"/>
      <c r="J88" s="10"/>
      <c r="K88" s="103"/>
      <c r="L88" s="103"/>
      <c r="M88" s="103"/>
      <c r="N88" s="103"/>
      <c r="O88" s="65"/>
      <c r="P88" s="65"/>
    </row>
    <row r="89" spans="1:16" s="56" customFormat="1" ht="14.25" customHeight="1" thickBot="1" x14ac:dyDescent="0.3">
      <c r="A89" s="24" t="s">
        <v>153</v>
      </c>
      <c r="B89" s="2"/>
      <c r="C89" s="2"/>
      <c r="D89" s="2"/>
      <c r="E89" s="14" t="s">
        <v>22</v>
      </c>
      <c r="F89" s="5"/>
      <c r="G89" s="15">
        <v>32048</v>
      </c>
      <c r="H89" s="15">
        <f>SUM(H90:H119)</f>
        <v>25910</v>
      </c>
      <c r="I89" s="15">
        <f>SUM(I90:I119)</f>
        <v>25910</v>
      </c>
      <c r="J89" s="15">
        <f>SUM(J90:J119)</f>
        <v>0</v>
      </c>
      <c r="K89" s="103"/>
      <c r="L89" s="103"/>
      <c r="M89" s="103"/>
      <c r="N89" s="103"/>
      <c r="O89" s="65"/>
      <c r="P89" s="65"/>
    </row>
    <row r="90" spans="1:16" s="56" customFormat="1" ht="14.25" customHeight="1" thickTop="1" x14ac:dyDescent="0.2">
      <c r="A90" s="24"/>
      <c r="B90" s="21" t="s">
        <v>41</v>
      </c>
      <c r="C90" s="57">
        <v>40400</v>
      </c>
      <c r="D90" s="57">
        <v>41495</v>
      </c>
      <c r="E90" s="20" t="s">
        <v>42</v>
      </c>
      <c r="F90" s="18" t="s">
        <v>19</v>
      </c>
      <c r="G90" s="18"/>
      <c r="H90" s="33">
        <v>206</v>
      </c>
      <c r="I90" s="75">
        <f>IF($J$87&gt;=D90,H90,0)</f>
        <v>206</v>
      </c>
      <c r="J90" s="22">
        <f t="shared" ref="J90:J96" si="5">+H90-I90</f>
        <v>0</v>
      </c>
      <c r="K90" s="103"/>
      <c r="L90" s="103"/>
      <c r="M90" s="103"/>
      <c r="N90" s="103"/>
      <c r="O90" s="65"/>
      <c r="P90" s="65"/>
    </row>
    <row r="91" spans="1:16" s="56" customFormat="1" ht="14.25" customHeight="1" x14ac:dyDescent="0.2">
      <c r="A91" s="24"/>
      <c r="B91" s="21" t="s">
        <v>41</v>
      </c>
      <c r="C91" s="57">
        <v>40428</v>
      </c>
      <c r="D91" s="57">
        <v>41495</v>
      </c>
      <c r="E91" s="20" t="s">
        <v>42</v>
      </c>
      <c r="F91" s="18" t="s">
        <v>19</v>
      </c>
      <c r="G91" s="18"/>
      <c r="H91" s="33">
        <v>350</v>
      </c>
      <c r="I91" s="75">
        <f t="shared" ref="I91:I119" si="6">IF($J$87&gt;=D91,H91,0)</f>
        <v>350</v>
      </c>
      <c r="J91" s="22">
        <f t="shared" si="5"/>
        <v>0</v>
      </c>
      <c r="K91" s="103"/>
      <c r="L91" s="103"/>
      <c r="M91" s="103"/>
      <c r="N91" s="103"/>
      <c r="O91" s="65"/>
      <c r="P91" s="65"/>
    </row>
    <row r="92" spans="1:16" s="56" customFormat="1" ht="14.25" customHeight="1" x14ac:dyDescent="0.2">
      <c r="A92" s="24"/>
      <c r="B92" s="21" t="s">
        <v>41</v>
      </c>
      <c r="C92" s="57">
        <v>40456</v>
      </c>
      <c r="D92" s="57">
        <v>41495</v>
      </c>
      <c r="E92" s="20" t="s">
        <v>42</v>
      </c>
      <c r="F92" s="18" t="s">
        <v>19</v>
      </c>
      <c r="G92" s="18"/>
      <c r="H92" s="33">
        <v>270</v>
      </c>
      <c r="I92" s="75">
        <f t="shared" si="6"/>
        <v>270</v>
      </c>
      <c r="J92" s="22">
        <f t="shared" si="5"/>
        <v>0</v>
      </c>
      <c r="K92" s="103"/>
      <c r="L92" s="103"/>
      <c r="M92" s="103"/>
      <c r="N92" s="103"/>
      <c r="O92" s="65"/>
      <c r="P92" s="65"/>
    </row>
    <row r="93" spans="1:16" s="56" customFormat="1" ht="14.25" customHeight="1" x14ac:dyDescent="0.2">
      <c r="A93" s="24"/>
      <c r="B93" s="21" t="s">
        <v>41</v>
      </c>
      <c r="C93" s="57">
        <v>40484</v>
      </c>
      <c r="D93" s="57">
        <v>41495</v>
      </c>
      <c r="E93" s="20" t="s">
        <v>42</v>
      </c>
      <c r="F93" s="18" t="s">
        <v>19</v>
      </c>
      <c r="G93" s="18"/>
      <c r="H93" s="33">
        <v>885</v>
      </c>
      <c r="I93" s="75">
        <f t="shared" si="6"/>
        <v>885</v>
      </c>
      <c r="J93" s="22">
        <f t="shared" si="5"/>
        <v>0</v>
      </c>
      <c r="K93" s="103"/>
      <c r="L93" s="103"/>
      <c r="M93" s="103"/>
      <c r="N93" s="103"/>
      <c r="O93" s="65"/>
      <c r="P93" s="65"/>
    </row>
    <row r="94" spans="1:16" s="56" customFormat="1" ht="14.25" customHeight="1" x14ac:dyDescent="0.2">
      <c r="A94" s="24"/>
      <c r="B94" s="21" t="s">
        <v>41</v>
      </c>
      <c r="C94" s="57">
        <v>40519</v>
      </c>
      <c r="D94" s="57">
        <v>41495</v>
      </c>
      <c r="E94" s="20" t="s">
        <v>42</v>
      </c>
      <c r="F94" s="18" t="s">
        <v>19</v>
      </c>
      <c r="G94" s="18"/>
      <c r="H94" s="33">
        <v>1249</v>
      </c>
      <c r="I94" s="75">
        <f t="shared" si="6"/>
        <v>1249</v>
      </c>
      <c r="J94" s="22">
        <f t="shared" si="5"/>
        <v>0</v>
      </c>
      <c r="K94" s="103"/>
      <c r="L94" s="103"/>
      <c r="M94" s="103"/>
      <c r="N94" s="103"/>
      <c r="O94" s="65"/>
      <c r="P94" s="65"/>
    </row>
    <row r="95" spans="1:16" s="56" customFormat="1" ht="14.25" customHeight="1" x14ac:dyDescent="0.2">
      <c r="A95" s="24"/>
      <c r="B95" s="21" t="s">
        <v>33</v>
      </c>
      <c r="C95" s="57">
        <v>40218</v>
      </c>
      <c r="D95" s="57">
        <v>42041</v>
      </c>
      <c r="E95" s="20" t="s">
        <v>15</v>
      </c>
      <c r="F95" s="18" t="s">
        <v>19</v>
      </c>
      <c r="G95" s="18"/>
      <c r="H95" s="33">
        <v>118.8</v>
      </c>
      <c r="I95" s="75">
        <f t="shared" si="6"/>
        <v>118.8</v>
      </c>
      <c r="J95" s="22">
        <f t="shared" si="5"/>
        <v>0</v>
      </c>
      <c r="K95" s="103"/>
      <c r="L95" s="103"/>
      <c r="M95" s="103"/>
      <c r="N95" s="103"/>
      <c r="O95" s="65"/>
      <c r="P95" s="65"/>
    </row>
    <row r="96" spans="1:16" s="56" customFormat="1" ht="14.25" customHeight="1" x14ac:dyDescent="0.2">
      <c r="A96" s="24"/>
      <c r="B96" s="21" t="s">
        <v>33</v>
      </c>
      <c r="C96" s="57">
        <v>40239</v>
      </c>
      <c r="D96" s="57">
        <v>42041</v>
      </c>
      <c r="E96" s="20" t="s">
        <v>15</v>
      </c>
      <c r="F96" s="18" t="s">
        <v>19</v>
      </c>
      <c r="G96" s="18"/>
      <c r="H96" s="33">
        <v>2552.8000000000002</v>
      </c>
      <c r="I96" s="75">
        <f t="shared" si="6"/>
        <v>2552.8000000000002</v>
      </c>
      <c r="J96" s="22">
        <f t="shared" si="5"/>
        <v>0</v>
      </c>
      <c r="K96" s="103"/>
      <c r="L96" s="103"/>
      <c r="M96" s="103"/>
      <c r="N96" s="103"/>
      <c r="O96" s="65"/>
      <c r="P96" s="65"/>
    </row>
    <row r="97" spans="1:16" s="56" customFormat="1" ht="14.25" customHeight="1" x14ac:dyDescent="0.2">
      <c r="A97" s="24"/>
      <c r="B97" s="21" t="s">
        <v>33</v>
      </c>
      <c r="C97" s="57">
        <v>40274</v>
      </c>
      <c r="D97" s="57">
        <v>42041</v>
      </c>
      <c r="E97" s="20" t="s">
        <v>15</v>
      </c>
      <c r="F97" s="18" t="s">
        <v>19</v>
      </c>
      <c r="G97" s="18"/>
      <c r="H97" s="33">
        <v>610</v>
      </c>
      <c r="I97" s="75">
        <f t="shared" si="6"/>
        <v>610</v>
      </c>
      <c r="J97" s="22">
        <f t="shared" ref="J97:J116" si="7">+H97-I97</f>
        <v>0</v>
      </c>
      <c r="K97" s="103"/>
      <c r="L97" s="103"/>
      <c r="M97" s="103"/>
      <c r="N97" s="103"/>
      <c r="O97" s="65"/>
      <c r="P97" s="65"/>
    </row>
    <row r="98" spans="1:16" s="56" customFormat="1" ht="14.25" customHeight="1" x14ac:dyDescent="0.2">
      <c r="A98" s="24"/>
      <c r="B98" s="21" t="s">
        <v>33</v>
      </c>
      <c r="C98" s="57">
        <v>40302</v>
      </c>
      <c r="D98" s="57">
        <v>42041</v>
      </c>
      <c r="E98" s="20" t="s">
        <v>15</v>
      </c>
      <c r="F98" s="18" t="s">
        <v>19</v>
      </c>
      <c r="G98" s="18"/>
      <c r="H98" s="33">
        <v>250</v>
      </c>
      <c r="I98" s="75">
        <f t="shared" si="6"/>
        <v>250</v>
      </c>
      <c r="J98" s="22">
        <f t="shared" si="7"/>
        <v>0</v>
      </c>
      <c r="K98" s="103"/>
      <c r="L98" s="103"/>
      <c r="M98" s="103"/>
      <c r="N98" s="103"/>
      <c r="O98" s="65"/>
      <c r="P98" s="65"/>
    </row>
    <row r="99" spans="1:16" s="56" customFormat="1" ht="14.25" customHeight="1" x14ac:dyDescent="0.2">
      <c r="A99" s="24"/>
      <c r="B99" s="21" t="s">
        <v>33</v>
      </c>
      <c r="C99" s="57">
        <v>40330</v>
      </c>
      <c r="D99" s="57">
        <v>42041</v>
      </c>
      <c r="E99" s="20" t="s">
        <v>15</v>
      </c>
      <c r="F99" s="18" t="s">
        <v>19</v>
      </c>
      <c r="G99" s="18"/>
      <c r="H99" s="33">
        <v>250</v>
      </c>
      <c r="I99" s="75">
        <f t="shared" si="6"/>
        <v>250</v>
      </c>
      <c r="J99" s="22">
        <f t="shared" si="7"/>
        <v>0</v>
      </c>
      <c r="K99" s="103"/>
      <c r="L99" s="103"/>
      <c r="M99" s="103"/>
      <c r="N99" s="103"/>
      <c r="O99" s="65"/>
      <c r="P99" s="65"/>
    </row>
    <row r="100" spans="1:16" s="56" customFormat="1" ht="14.25" customHeight="1" x14ac:dyDescent="0.2">
      <c r="A100" s="24"/>
      <c r="B100" s="21" t="s">
        <v>33</v>
      </c>
      <c r="C100" s="57">
        <v>40365</v>
      </c>
      <c r="D100" s="57">
        <v>42041</v>
      </c>
      <c r="E100" s="20" t="s">
        <v>15</v>
      </c>
      <c r="F100" s="18" t="s">
        <v>19</v>
      </c>
      <c r="G100" s="18"/>
      <c r="H100" s="33">
        <v>218.4</v>
      </c>
      <c r="I100" s="75">
        <f t="shared" si="6"/>
        <v>218.4</v>
      </c>
      <c r="J100" s="22">
        <f t="shared" si="7"/>
        <v>0</v>
      </c>
      <c r="K100" s="103"/>
      <c r="L100" s="103"/>
      <c r="M100" s="103"/>
      <c r="N100" s="103"/>
      <c r="O100" s="65"/>
      <c r="P100" s="65"/>
    </row>
    <row r="101" spans="1:16" s="56" customFormat="1" ht="14.25" customHeight="1" x14ac:dyDescent="0.2">
      <c r="A101" s="24"/>
      <c r="B101" s="21" t="s">
        <v>43</v>
      </c>
      <c r="C101" s="57">
        <v>40400</v>
      </c>
      <c r="D101" s="57">
        <v>42223</v>
      </c>
      <c r="E101" s="20" t="s">
        <v>30</v>
      </c>
      <c r="F101" s="18" t="s">
        <v>19</v>
      </c>
      <c r="G101" s="18"/>
      <c r="H101" s="33">
        <v>881</v>
      </c>
      <c r="I101" s="75">
        <f t="shared" si="6"/>
        <v>881</v>
      </c>
      <c r="J101" s="22">
        <f t="shared" si="7"/>
        <v>0</v>
      </c>
      <c r="K101" s="103"/>
      <c r="L101" s="103"/>
      <c r="M101" s="103"/>
      <c r="N101" s="103"/>
      <c r="O101" s="65"/>
      <c r="P101" s="65"/>
    </row>
    <row r="102" spans="1:16" s="56" customFormat="1" ht="14.25" customHeight="1" x14ac:dyDescent="0.2">
      <c r="A102" s="24"/>
      <c r="B102" s="21" t="s">
        <v>43</v>
      </c>
      <c r="C102" s="57">
        <v>40428</v>
      </c>
      <c r="D102" s="57">
        <v>42223</v>
      </c>
      <c r="E102" s="20" t="s">
        <v>30</v>
      </c>
      <c r="F102" s="18" t="s">
        <v>19</v>
      </c>
      <c r="G102" s="18"/>
      <c r="H102" s="33">
        <v>235</v>
      </c>
      <c r="I102" s="75">
        <f t="shared" si="6"/>
        <v>235</v>
      </c>
      <c r="J102" s="22">
        <f t="shared" si="7"/>
        <v>0</v>
      </c>
      <c r="K102" s="103"/>
      <c r="L102" s="103"/>
      <c r="M102" s="103"/>
      <c r="N102" s="103"/>
      <c r="O102" s="65"/>
      <c r="P102" s="65"/>
    </row>
    <row r="103" spans="1:16" s="56" customFormat="1" ht="14.25" customHeight="1" x14ac:dyDescent="0.2">
      <c r="A103" s="24"/>
      <c r="B103" s="21" t="s">
        <v>43</v>
      </c>
      <c r="C103" s="57">
        <v>40456</v>
      </c>
      <c r="D103" s="57">
        <v>42223</v>
      </c>
      <c r="E103" s="20" t="s">
        <v>30</v>
      </c>
      <c r="F103" s="18" t="s">
        <v>19</v>
      </c>
      <c r="G103" s="18"/>
      <c r="H103" s="33">
        <v>300</v>
      </c>
      <c r="I103" s="75">
        <f t="shared" si="6"/>
        <v>300</v>
      </c>
      <c r="J103" s="22">
        <f>+H103-I103</f>
        <v>0</v>
      </c>
      <c r="K103" s="103"/>
      <c r="L103" s="103"/>
      <c r="M103" s="103"/>
      <c r="N103" s="103"/>
      <c r="O103" s="65"/>
      <c r="P103" s="65"/>
    </row>
    <row r="104" spans="1:16" s="56" customFormat="1" ht="14.25" customHeight="1" x14ac:dyDescent="0.2">
      <c r="A104" s="24"/>
      <c r="B104" s="21" t="s">
        <v>43</v>
      </c>
      <c r="C104" s="57">
        <v>40484</v>
      </c>
      <c r="D104" s="57">
        <v>42223</v>
      </c>
      <c r="E104" s="20" t="s">
        <v>30</v>
      </c>
      <c r="F104" s="18" t="s">
        <v>19</v>
      </c>
      <c r="G104" s="18"/>
      <c r="H104" s="33">
        <v>2</v>
      </c>
      <c r="I104" s="75">
        <f t="shared" si="6"/>
        <v>2</v>
      </c>
      <c r="J104" s="22">
        <f>+H104-I104</f>
        <v>0</v>
      </c>
      <c r="K104" s="103"/>
      <c r="L104" s="103"/>
      <c r="M104" s="103"/>
      <c r="N104" s="103"/>
      <c r="O104" s="65"/>
      <c r="P104" s="65"/>
    </row>
    <row r="105" spans="1:16" s="56" customFormat="1" ht="14.25" customHeight="1" x14ac:dyDescent="0.2">
      <c r="A105" s="24"/>
      <c r="B105" s="21" t="s">
        <v>34</v>
      </c>
      <c r="C105" s="57">
        <v>40218</v>
      </c>
      <c r="D105" s="57">
        <v>42776</v>
      </c>
      <c r="E105" s="20" t="s">
        <v>9</v>
      </c>
      <c r="F105" s="18" t="s">
        <v>19</v>
      </c>
      <c r="G105" s="18"/>
      <c r="H105" s="33">
        <v>197.2</v>
      </c>
      <c r="I105" s="75">
        <f t="shared" si="6"/>
        <v>197.2</v>
      </c>
      <c r="J105" s="22">
        <f t="shared" si="7"/>
        <v>0</v>
      </c>
      <c r="K105" s="103"/>
      <c r="L105" s="103"/>
      <c r="M105" s="103"/>
      <c r="N105" s="103"/>
      <c r="O105" s="65"/>
      <c r="P105" s="65"/>
    </row>
    <row r="106" spans="1:16" s="56" customFormat="1" ht="14.25" customHeight="1" x14ac:dyDescent="0.2">
      <c r="A106" s="24"/>
      <c r="B106" s="21" t="s">
        <v>34</v>
      </c>
      <c r="C106" s="57">
        <v>40239</v>
      </c>
      <c r="D106" s="57">
        <v>42776</v>
      </c>
      <c r="E106" s="20" t="s">
        <v>9</v>
      </c>
      <c r="F106" s="18" t="s">
        <v>19</v>
      </c>
      <c r="G106" s="18"/>
      <c r="H106" s="33">
        <v>3650</v>
      </c>
      <c r="I106" s="75">
        <f t="shared" si="6"/>
        <v>3650</v>
      </c>
      <c r="J106" s="22">
        <f t="shared" si="7"/>
        <v>0</v>
      </c>
      <c r="K106" s="103"/>
      <c r="L106" s="103"/>
      <c r="M106" s="103"/>
      <c r="N106" s="103"/>
      <c r="O106" s="65"/>
      <c r="P106" s="65"/>
    </row>
    <row r="107" spans="1:16" s="56" customFormat="1" ht="14.25" customHeight="1" x14ac:dyDescent="0.2">
      <c r="A107" s="24"/>
      <c r="B107" s="21" t="s">
        <v>34</v>
      </c>
      <c r="C107" s="57">
        <v>40274</v>
      </c>
      <c r="D107" s="57">
        <v>42776</v>
      </c>
      <c r="E107" s="20" t="s">
        <v>9</v>
      </c>
      <c r="F107" s="18" t="s">
        <v>19</v>
      </c>
      <c r="G107" s="18"/>
      <c r="H107" s="33">
        <v>52.8</v>
      </c>
      <c r="I107" s="75">
        <f t="shared" si="6"/>
        <v>52.8</v>
      </c>
      <c r="J107" s="22">
        <f t="shared" si="7"/>
        <v>0</v>
      </c>
      <c r="K107" s="103"/>
      <c r="L107" s="103"/>
      <c r="M107" s="103"/>
      <c r="N107" s="103"/>
      <c r="O107" s="65"/>
      <c r="P107" s="65"/>
    </row>
    <row r="108" spans="1:16" s="56" customFormat="1" ht="14.25" customHeight="1" x14ac:dyDescent="0.2">
      <c r="A108" s="24"/>
      <c r="B108" s="21" t="s">
        <v>34</v>
      </c>
      <c r="C108" s="57">
        <v>40302</v>
      </c>
      <c r="D108" s="57">
        <v>42776</v>
      </c>
      <c r="E108" s="20" t="s">
        <v>9</v>
      </c>
      <c r="F108" s="18" t="s">
        <v>19</v>
      </c>
      <c r="G108" s="18"/>
      <c r="H108" s="33">
        <v>50</v>
      </c>
      <c r="I108" s="75">
        <f t="shared" si="6"/>
        <v>50</v>
      </c>
      <c r="J108" s="22">
        <f t="shared" si="7"/>
        <v>0</v>
      </c>
      <c r="K108" s="103"/>
      <c r="L108" s="103"/>
      <c r="M108" s="103"/>
      <c r="N108" s="103"/>
      <c r="O108" s="65"/>
      <c r="P108" s="65"/>
    </row>
    <row r="109" spans="1:16" s="56" customFormat="1" ht="14.25" customHeight="1" x14ac:dyDescent="0.2">
      <c r="A109" s="24"/>
      <c r="B109" s="21" t="s">
        <v>34</v>
      </c>
      <c r="C109" s="57">
        <v>40330</v>
      </c>
      <c r="D109" s="57">
        <v>42776</v>
      </c>
      <c r="E109" s="20" t="s">
        <v>9</v>
      </c>
      <c r="F109" s="18" t="s">
        <v>19</v>
      </c>
      <c r="G109" s="18"/>
      <c r="H109" s="33">
        <v>50</v>
      </c>
      <c r="I109" s="75">
        <f t="shared" si="6"/>
        <v>50</v>
      </c>
      <c r="J109" s="22">
        <f t="shared" si="7"/>
        <v>0</v>
      </c>
      <c r="K109" s="103"/>
      <c r="L109" s="103"/>
      <c r="M109" s="103"/>
      <c r="N109" s="103"/>
      <c r="O109" s="65"/>
      <c r="P109" s="65"/>
    </row>
    <row r="110" spans="1:16" s="56" customFormat="1" ht="14.25" customHeight="1" x14ac:dyDescent="0.2">
      <c r="A110" s="24"/>
      <c r="B110" s="21" t="s">
        <v>44</v>
      </c>
      <c r="C110" s="57">
        <v>40400</v>
      </c>
      <c r="D110" s="57">
        <v>42951</v>
      </c>
      <c r="E110" s="20" t="s">
        <v>45</v>
      </c>
      <c r="F110" s="18" t="s">
        <v>19</v>
      </c>
      <c r="G110" s="18"/>
      <c r="H110" s="33">
        <v>250</v>
      </c>
      <c r="I110" s="75">
        <f t="shared" si="6"/>
        <v>250</v>
      </c>
      <c r="J110" s="22">
        <f t="shared" si="7"/>
        <v>0</v>
      </c>
      <c r="K110" s="103"/>
      <c r="L110" s="103"/>
      <c r="M110" s="103"/>
      <c r="N110" s="103"/>
      <c r="O110" s="65"/>
      <c r="P110" s="65"/>
    </row>
    <row r="111" spans="1:16" s="56" customFormat="1" ht="14.25" customHeight="1" x14ac:dyDescent="0.2">
      <c r="A111" s="24"/>
      <c r="B111" s="21" t="s">
        <v>44</v>
      </c>
      <c r="C111" s="57">
        <v>40428</v>
      </c>
      <c r="D111" s="57">
        <v>42951</v>
      </c>
      <c r="E111" s="20" t="s">
        <v>45</v>
      </c>
      <c r="F111" s="18" t="s">
        <v>19</v>
      </c>
      <c r="G111" s="18"/>
      <c r="H111" s="33">
        <v>500</v>
      </c>
      <c r="I111" s="75">
        <f t="shared" si="6"/>
        <v>500</v>
      </c>
      <c r="J111" s="22">
        <f t="shared" si="7"/>
        <v>0</v>
      </c>
      <c r="K111" s="103"/>
      <c r="L111" s="103"/>
      <c r="M111" s="103"/>
      <c r="N111" s="103"/>
      <c r="O111" s="65"/>
      <c r="P111" s="65"/>
    </row>
    <row r="112" spans="1:16" s="56" customFormat="1" ht="14.25" customHeight="1" x14ac:dyDescent="0.2">
      <c r="A112" s="24"/>
      <c r="B112" s="21" t="s">
        <v>44</v>
      </c>
      <c r="C112" s="57">
        <v>40456</v>
      </c>
      <c r="D112" s="57">
        <v>42951</v>
      </c>
      <c r="E112" s="20" t="s">
        <v>45</v>
      </c>
      <c r="F112" s="18" t="s">
        <v>19</v>
      </c>
      <c r="G112" s="18"/>
      <c r="H112" s="33">
        <v>180</v>
      </c>
      <c r="I112" s="75">
        <f t="shared" si="6"/>
        <v>180</v>
      </c>
      <c r="J112" s="22">
        <f>+H112-I112</f>
        <v>0</v>
      </c>
      <c r="K112" s="103"/>
      <c r="L112" s="103"/>
      <c r="M112" s="103"/>
      <c r="N112" s="103"/>
      <c r="O112" s="65"/>
      <c r="P112" s="65"/>
    </row>
    <row r="113" spans="1:16" s="56" customFormat="1" ht="14.25" customHeight="1" x14ac:dyDescent="0.2">
      <c r="A113" s="24"/>
      <c r="B113" s="21" t="s">
        <v>44</v>
      </c>
      <c r="C113" s="57">
        <v>40484</v>
      </c>
      <c r="D113" s="57">
        <v>42951</v>
      </c>
      <c r="E113" s="20" t="s">
        <v>45</v>
      </c>
      <c r="F113" s="18" t="s">
        <v>19</v>
      </c>
      <c r="G113" s="18"/>
      <c r="H113" s="33">
        <v>1004</v>
      </c>
      <c r="I113" s="75">
        <f t="shared" si="6"/>
        <v>1004</v>
      </c>
      <c r="J113" s="22">
        <f>+H113-I113</f>
        <v>0</v>
      </c>
      <c r="K113" s="103"/>
      <c r="L113" s="103"/>
      <c r="M113" s="103"/>
      <c r="N113" s="103"/>
      <c r="O113" s="65"/>
      <c r="P113" s="65"/>
    </row>
    <row r="114" spans="1:16" s="56" customFormat="1" x14ac:dyDescent="0.2">
      <c r="A114" s="24"/>
      <c r="B114" s="21" t="s">
        <v>44</v>
      </c>
      <c r="C114" s="57">
        <v>40519</v>
      </c>
      <c r="D114" s="57">
        <v>42951</v>
      </c>
      <c r="E114" s="20" t="s">
        <v>45</v>
      </c>
      <c r="F114" s="18" t="s">
        <v>19</v>
      </c>
      <c r="G114" s="18"/>
      <c r="H114" s="33">
        <v>598</v>
      </c>
      <c r="I114" s="75">
        <f t="shared" si="6"/>
        <v>598</v>
      </c>
      <c r="J114" s="22">
        <f>+H114-I114</f>
        <v>0</v>
      </c>
      <c r="K114" s="103"/>
      <c r="L114" s="103"/>
      <c r="M114" s="103"/>
      <c r="N114" s="103"/>
      <c r="O114" s="65"/>
      <c r="P114" s="65"/>
    </row>
    <row r="115" spans="1:16" s="56" customFormat="1" x14ac:dyDescent="0.2">
      <c r="A115" s="24"/>
      <c r="B115" s="21" t="s">
        <v>46</v>
      </c>
      <c r="C115" s="57">
        <v>40400</v>
      </c>
      <c r="D115" s="57">
        <v>44022</v>
      </c>
      <c r="E115" s="20" t="s">
        <v>9</v>
      </c>
      <c r="F115" s="18" t="s">
        <v>19</v>
      </c>
      <c r="G115" s="18"/>
      <c r="H115" s="33">
        <v>2995</v>
      </c>
      <c r="I115" s="75">
        <f t="shared" si="6"/>
        <v>2995</v>
      </c>
      <c r="J115" s="22">
        <f t="shared" si="7"/>
        <v>0</v>
      </c>
      <c r="K115" s="103"/>
      <c r="L115" s="103"/>
      <c r="M115" s="103"/>
      <c r="N115" s="103"/>
      <c r="O115" s="65"/>
      <c r="P115" s="65"/>
    </row>
    <row r="116" spans="1:16" s="56" customFormat="1" x14ac:dyDescent="0.2">
      <c r="A116" s="24"/>
      <c r="B116" s="21" t="s">
        <v>46</v>
      </c>
      <c r="C116" s="57">
        <v>40428</v>
      </c>
      <c r="D116" s="57">
        <v>44022</v>
      </c>
      <c r="E116" s="20" t="s">
        <v>9</v>
      </c>
      <c r="F116" s="18" t="s">
        <v>19</v>
      </c>
      <c r="G116" s="18"/>
      <c r="H116" s="33">
        <v>5000</v>
      </c>
      <c r="I116" s="75">
        <f t="shared" si="6"/>
        <v>5000</v>
      </c>
      <c r="J116" s="22">
        <f t="shared" si="7"/>
        <v>0</v>
      </c>
      <c r="K116" s="103"/>
      <c r="L116" s="103"/>
      <c r="M116" s="103"/>
      <c r="N116" s="103"/>
      <c r="O116" s="65"/>
      <c r="P116" s="65"/>
    </row>
    <row r="117" spans="1:16" x14ac:dyDescent="0.2">
      <c r="B117" s="21" t="s">
        <v>46</v>
      </c>
      <c r="C117" s="57">
        <v>40456</v>
      </c>
      <c r="D117" s="57">
        <v>44022</v>
      </c>
      <c r="E117" s="20" t="s">
        <v>9</v>
      </c>
      <c r="F117" s="18" t="s">
        <v>19</v>
      </c>
      <c r="G117" s="18"/>
      <c r="H117" s="33">
        <v>510</v>
      </c>
      <c r="I117" s="75">
        <f t="shared" si="6"/>
        <v>510</v>
      </c>
      <c r="J117" s="22">
        <f>+H117-I117</f>
        <v>0</v>
      </c>
    </row>
    <row r="118" spans="1:16" x14ac:dyDescent="0.2">
      <c r="B118" s="21" t="s">
        <v>46</v>
      </c>
      <c r="C118" s="57">
        <v>40484</v>
      </c>
      <c r="D118" s="57">
        <v>44022</v>
      </c>
      <c r="E118" s="20" t="s">
        <v>9</v>
      </c>
      <c r="F118" s="18" t="s">
        <v>19</v>
      </c>
      <c r="G118" s="18"/>
      <c r="H118" s="33">
        <v>2315</v>
      </c>
      <c r="I118" s="75">
        <f t="shared" si="6"/>
        <v>2315</v>
      </c>
      <c r="J118" s="22">
        <f>+H118-I118</f>
        <v>0</v>
      </c>
    </row>
    <row r="119" spans="1:16" x14ac:dyDescent="0.2">
      <c r="B119" s="21" t="s">
        <v>46</v>
      </c>
      <c r="C119" s="57">
        <v>40519</v>
      </c>
      <c r="D119" s="57">
        <v>44022</v>
      </c>
      <c r="E119" s="20" t="s">
        <v>9</v>
      </c>
      <c r="F119" s="18" t="s">
        <v>19</v>
      </c>
      <c r="G119" s="18"/>
      <c r="H119" s="33">
        <v>180</v>
      </c>
      <c r="I119" s="75">
        <f t="shared" si="6"/>
        <v>180</v>
      </c>
      <c r="J119" s="22">
        <f>+H119-I119</f>
        <v>0</v>
      </c>
    </row>
    <row r="120" spans="1:16" ht="13.5" thickBot="1" x14ac:dyDescent="0.25">
      <c r="B120" s="59"/>
      <c r="C120" s="59"/>
      <c r="D120" s="59"/>
      <c r="E120" s="59"/>
      <c r="F120" s="59"/>
      <c r="G120" s="59"/>
      <c r="H120" s="59"/>
      <c r="I120" s="59"/>
      <c r="J120" s="59"/>
    </row>
    <row r="121" spans="1:16" s="62" customFormat="1" x14ac:dyDescent="0.2">
      <c r="A121" s="23"/>
      <c r="B121" s="73"/>
      <c r="C121" s="73"/>
      <c r="D121" s="73"/>
      <c r="E121" s="49"/>
      <c r="F121" s="49"/>
      <c r="G121" s="49"/>
      <c r="H121" s="49"/>
      <c r="I121" s="49"/>
      <c r="J121" s="74"/>
      <c r="K121" s="100"/>
      <c r="L121" s="100"/>
      <c r="M121" s="100"/>
      <c r="N121" s="100"/>
      <c r="O121" s="49"/>
      <c r="P121" s="49"/>
    </row>
    <row r="122" spans="1:16" s="62" customFormat="1" x14ac:dyDescent="0.2">
      <c r="A122" s="23"/>
      <c r="B122" s="73"/>
      <c r="C122" s="73"/>
      <c r="D122" s="73"/>
      <c r="E122" s="49"/>
      <c r="F122" s="49"/>
      <c r="G122" s="49"/>
      <c r="H122" s="49"/>
      <c r="I122" s="49"/>
      <c r="J122" s="74"/>
      <c r="K122" s="100"/>
      <c r="L122" s="100"/>
      <c r="M122" s="100"/>
      <c r="N122" s="100"/>
      <c r="O122" s="49"/>
      <c r="P122" s="49"/>
    </row>
    <row r="123" spans="1:16" s="62" customFormat="1" ht="12.75" customHeight="1" x14ac:dyDescent="0.2">
      <c r="A123" s="23"/>
      <c r="B123" s="73"/>
      <c r="C123" s="73"/>
      <c r="D123" s="73"/>
      <c r="E123" s="49"/>
      <c r="F123" s="49"/>
      <c r="G123" s="49"/>
      <c r="H123" s="49"/>
      <c r="I123" s="49"/>
      <c r="J123" s="74"/>
      <c r="K123" s="100"/>
      <c r="L123" s="100"/>
      <c r="M123" s="100"/>
      <c r="N123" s="100"/>
      <c r="O123" s="49"/>
      <c r="P123" s="49"/>
    </row>
    <row r="124" spans="1:16" s="62" customFormat="1" ht="15" x14ac:dyDescent="0.25">
      <c r="A124" s="23"/>
      <c r="B124" s="93" t="s">
        <v>54</v>
      </c>
      <c r="C124" s="93"/>
      <c r="D124" s="93"/>
      <c r="E124" s="93"/>
      <c r="F124" s="93"/>
      <c r="G124" s="93"/>
      <c r="H124" s="93"/>
      <c r="I124" s="93"/>
      <c r="J124" s="93"/>
      <c r="K124" s="100"/>
      <c r="L124" s="100"/>
      <c r="M124" s="100"/>
      <c r="N124" s="100"/>
      <c r="O124" s="49"/>
      <c r="P124" s="49"/>
    </row>
    <row r="125" spans="1:16" s="62" customFormat="1" x14ac:dyDescent="0.2">
      <c r="A125" s="23"/>
      <c r="B125" s="1"/>
      <c r="C125" s="1"/>
      <c r="D125" s="1"/>
      <c r="E125" s="1"/>
      <c r="F125" s="1"/>
      <c r="G125" s="1"/>
      <c r="H125" s="1"/>
      <c r="I125" s="1"/>
      <c r="J125" s="61"/>
      <c r="K125" s="100"/>
      <c r="L125" s="100"/>
      <c r="M125" s="100"/>
      <c r="N125" s="100"/>
      <c r="O125" s="49"/>
      <c r="P125" s="49"/>
    </row>
    <row r="126" spans="1:16" s="62" customFormat="1" x14ac:dyDescent="0.2">
      <c r="A126" s="23"/>
      <c r="B126" s="94" t="s">
        <v>4</v>
      </c>
      <c r="C126" s="94"/>
      <c r="D126" s="94"/>
      <c r="E126" s="94"/>
      <c r="F126" s="94"/>
      <c r="G126" s="94"/>
      <c r="H126" s="94"/>
      <c r="I126" s="94"/>
      <c r="J126" s="94"/>
      <c r="K126" s="100"/>
      <c r="L126" s="100"/>
      <c r="M126" s="100"/>
      <c r="N126" s="100"/>
      <c r="O126" s="49"/>
      <c r="P126" s="49"/>
    </row>
    <row r="127" spans="1:16" s="62" customFormat="1" ht="25.5" x14ac:dyDescent="0.2">
      <c r="A127" s="23"/>
      <c r="B127" s="95" t="s">
        <v>0</v>
      </c>
      <c r="C127" s="95" t="s">
        <v>31</v>
      </c>
      <c r="D127" s="95" t="s">
        <v>1</v>
      </c>
      <c r="E127" s="95" t="s">
        <v>8</v>
      </c>
      <c r="F127" s="95" t="s">
        <v>18</v>
      </c>
      <c r="G127" s="95" t="s">
        <v>14</v>
      </c>
      <c r="H127" s="95" t="s">
        <v>6</v>
      </c>
      <c r="I127" s="95" t="s">
        <v>2</v>
      </c>
      <c r="J127" s="84" t="s">
        <v>3</v>
      </c>
      <c r="K127" s="100"/>
      <c r="L127" s="100"/>
      <c r="M127" s="100"/>
      <c r="N127" s="100"/>
      <c r="O127" s="49"/>
      <c r="P127" s="49"/>
    </row>
    <row r="128" spans="1:16" s="56" customFormat="1" x14ac:dyDescent="0.2">
      <c r="A128" s="24"/>
      <c r="B128" s="96"/>
      <c r="C128" s="96"/>
      <c r="D128" s="96"/>
      <c r="E128" s="96"/>
      <c r="F128" s="96"/>
      <c r="G128" s="96"/>
      <c r="H128" s="96"/>
      <c r="I128" s="96"/>
      <c r="J128" s="85">
        <f>+J87</f>
        <v>45716</v>
      </c>
      <c r="K128" s="103"/>
      <c r="L128" s="103"/>
      <c r="M128" s="103"/>
      <c r="N128" s="103"/>
      <c r="O128" s="65"/>
      <c r="P128" s="65"/>
    </row>
    <row r="129" spans="1:16" x14ac:dyDescent="0.2">
      <c r="B129" s="2"/>
      <c r="C129" s="2"/>
      <c r="D129" s="2"/>
      <c r="E129" s="2"/>
      <c r="F129" s="2"/>
      <c r="G129" s="2"/>
      <c r="H129" s="2"/>
      <c r="I129" s="2"/>
      <c r="J129" s="10"/>
    </row>
    <row r="130" spans="1:16" ht="15.75" thickBot="1" x14ac:dyDescent="0.3">
      <c r="A130" s="23" t="s">
        <v>153</v>
      </c>
      <c r="B130" s="2"/>
      <c r="C130" s="2"/>
      <c r="D130" s="2"/>
      <c r="E130" s="14" t="s">
        <v>22</v>
      </c>
      <c r="F130" s="5"/>
      <c r="G130" s="15">
        <v>25200</v>
      </c>
      <c r="H130" s="15">
        <f>SUM(H131:H148)</f>
        <v>25200</v>
      </c>
      <c r="I130" s="36">
        <f>SUM(I131:I148)</f>
        <v>25200</v>
      </c>
      <c r="J130" s="15">
        <f>SUM(J131:J148)</f>
        <v>0</v>
      </c>
    </row>
    <row r="131" spans="1:16" ht="13.5" thickTop="1" x14ac:dyDescent="0.2">
      <c r="B131" s="21" t="s">
        <v>47</v>
      </c>
      <c r="C131" s="57">
        <v>40701</v>
      </c>
      <c r="D131" s="57">
        <v>41796</v>
      </c>
      <c r="E131" s="20" t="s">
        <v>48</v>
      </c>
      <c r="F131" s="18" t="s">
        <v>19</v>
      </c>
      <c r="G131" s="18"/>
      <c r="H131" s="33">
        <v>500</v>
      </c>
      <c r="I131" s="37">
        <f>IF($J$128&gt;=D131,H131,0)</f>
        <v>500</v>
      </c>
      <c r="J131" s="22">
        <f t="shared" ref="J131:J148" si="8">H131-I131</f>
        <v>0</v>
      </c>
    </row>
    <row r="132" spans="1:16" x14ac:dyDescent="0.2">
      <c r="B132" s="21" t="s">
        <v>47</v>
      </c>
      <c r="C132" s="57">
        <v>40792</v>
      </c>
      <c r="D132" s="57">
        <v>41796</v>
      </c>
      <c r="E132" s="20" t="s">
        <v>48</v>
      </c>
      <c r="F132" s="18" t="s">
        <v>19</v>
      </c>
      <c r="G132" s="18"/>
      <c r="H132" s="33">
        <v>700</v>
      </c>
      <c r="I132" s="37">
        <f t="shared" ref="I132:I148" si="9">IF($J$128&gt;=D132,H132,0)</f>
        <v>700</v>
      </c>
      <c r="J132" s="22">
        <f t="shared" si="8"/>
        <v>0</v>
      </c>
    </row>
    <row r="133" spans="1:16" s="56" customFormat="1" x14ac:dyDescent="0.2">
      <c r="A133" s="24"/>
      <c r="B133" s="21" t="s">
        <v>47</v>
      </c>
      <c r="C133" s="57">
        <v>40820</v>
      </c>
      <c r="D133" s="57">
        <v>41796</v>
      </c>
      <c r="E133" s="20" t="s">
        <v>48</v>
      </c>
      <c r="F133" s="18" t="s">
        <v>19</v>
      </c>
      <c r="G133" s="18"/>
      <c r="H133" s="33">
        <v>345</v>
      </c>
      <c r="I133" s="37">
        <f t="shared" si="9"/>
        <v>345</v>
      </c>
      <c r="J133" s="22">
        <f t="shared" si="8"/>
        <v>0</v>
      </c>
      <c r="K133" s="103"/>
      <c r="L133" s="103"/>
      <c r="M133" s="103"/>
      <c r="N133" s="103"/>
      <c r="O133" s="65"/>
      <c r="P133" s="65"/>
    </row>
    <row r="134" spans="1:16" s="12" customFormat="1" x14ac:dyDescent="0.2">
      <c r="A134" s="25"/>
      <c r="B134" s="21" t="s">
        <v>47</v>
      </c>
      <c r="C134" s="57">
        <v>40848</v>
      </c>
      <c r="D134" s="57">
        <v>41796</v>
      </c>
      <c r="E134" s="20" t="s">
        <v>48</v>
      </c>
      <c r="F134" s="18" t="s">
        <v>19</v>
      </c>
      <c r="G134" s="18"/>
      <c r="H134" s="33">
        <v>886</v>
      </c>
      <c r="I134" s="37">
        <f t="shared" si="9"/>
        <v>886</v>
      </c>
      <c r="J134" s="22">
        <f t="shared" si="8"/>
        <v>0</v>
      </c>
      <c r="K134" s="106"/>
      <c r="L134" s="106"/>
      <c r="M134" s="106"/>
      <c r="N134" s="106"/>
    </row>
    <row r="135" spans="1:16" x14ac:dyDescent="0.2">
      <c r="B135" s="21" t="s">
        <v>47</v>
      </c>
      <c r="C135" s="57">
        <v>40883</v>
      </c>
      <c r="D135" s="57">
        <v>41796</v>
      </c>
      <c r="E135" s="20" t="s">
        <v>48</v>
      </c>
      <c r="F135" s="18" t="s">
        <v>19</v>
      </c>
      <c r="G135" s="18"/>
      <c r="H135" s="33">
        <v>1769</v>
      </c>
      <c r="I135" s="37">
        <f t="shared" si="9"/>
        <v>1769</v>
      </c>
      <c r="J135" s="22">
        <f t="shared" si="8"/>
        <v>0</v>
      </c>
    </row>
    <row r="136" spans="1:16" x14ac:dyDescent="0.2">
      <c r="B136" s="21" t="s">
        <v>49</v>
      </c>
      <c r="C136" s="57">
        <v>40701</v>
      </c>
      <c r="D136" s="57">
        <v>43259</v>
      </c>
      <c r="E136" s="20" t="s">
        <v>51</v>
      </c>
      <c r="F136" s="18" t="s">
        <v>19</v>
      </c>
      <c r="G136" s="18"/>
      <c r="H136" s="33">
        <v>1000</v>
      </c>
      <c r="I136" s="37">
        <f t="shared" si="9"/>
        <v>1000</v>
      </c>
      <c r="J136" s="22">
        <f t="shared" si="8"/>
        <v>0</v>
      </c>
    </row>
    <row r="137" spans="1:16" x14ac:dyDescent="0.2">
      <c r="B137" s="21" t="s">
        <v>49</v>
      </c>
      <c r="C137" s="57">
        <v>40760</v>
      </c>
      <c r="D137" s="57">
        <v>43259</v>
      </c>
      <c r="E137" s="20" t="s">
        <v>51</v>
      </c>
      <c r="F137" s="18" t="s">
        <v>19</v>
      </c>
      <c r="G137" s="18"/>
      <c r="H137" s="33">
        <v>10</v>
      </c>
      <c r="I137" s="37">
        <f t="shared" si="9"/>
        <v>10</v>
      </c>
      <c r="J137" s="22">
        <f t="shared" si="8"/>
        <v>0</v>
      </c>
    </row>
    <row r="138" spans="1:16" x14ac:dyDescent="0.2">
      <c r="B138" s="21" t="s">
        <v>49</v>
      </c>
      <c r="C138" s="57">
        <v>40795</v>
      </c>
      <c r="D138" s="57">
        <v>43259</v>
      </c>
      <c r="E138" s="20" t="s">
        <v>51</v>
      </c>
      <c r="F138" s="18" t="s">
        <v>19</v>
      </c>
      <c r="G138" s="18"/>
      <c r="H138" s="33">
        <v>1300</v>
      </c>
      <c r="I138" s="37">
        <f t="shared" si="9"/>
        <v>1300</v>
      </c>
      <c r="J138" s="22">
        <f t="shared" si="8"/>
        <v>0</v>
      </c>
    </row>
    <row r="139" spans="1:16" s="56" customFormat="1" x14ac:dyDescent="0.2">
      <c r="A139" s="24"/>
      <c r="B139" s="21" t="s">
        <v>49</v>
      </c>
      <c r="C139" s="57">
        <v>40820</v>
      </c>
      <c r="D139" s="57">
        <v>43259</v>
      </c>
      <c r="E139" s="20" t="s">
        <v>51</v>
      </c>
      <c r="F139" s="18" t="s">
        <v>19</v>
      </c>
      <c r="G139" s="18"/>
      <c r="H139" s="33">
        <v>550</v>
      </c>
      <c r="I139" s="37">
        <f t="shared" si="9"/>
        <v>550</v>
      </c>
      <c r="J139" s="22">
        <f t="shared" si="8"/>
        <v>0</v>
      </c>
      <c r="K139" s="103"/>
      <c r="L139" s="103"/>
      <c r="M139" s="103"/>
      <c r="N139" s="103"/>
      <c r="O139" s="65"/>
      <c r="P139" s="65"/>
    </row>
    <row r="140" spans="1:16" x14ac:dyDescent="0.2">
      <c r="B140" s="21" t="s">
        <v>49</v>
      </c>
      <c r="C140" s="57">
        <v>40848</v>
      </c>
      <c r="D140" s="57">
        <v>43259</v>
      </c>
      <c r="E140" s="20" t="s">
        <v>51</v>
      </c>
      <c r="F140" s="18" t="s">
        <v>19</v>
      </c>
      <c r="G140" s="18"/>
      <c r="H140" s="33">
        <v>1220</v>
      </c>
      <c r="I140" s="37">
        <f t="shared" si="9"/>
        <v>1220</v>
      </c>
      <c r="J140" s="22">
        <f t="shared" si="8"/>
        <v>0</v>
      </c>
    </row>
    <row r="141" spans="1:16" s="12" customFormat="1" x14ac:dyDescent="0.2">
      <c r="A141" s="25"/>
      <c r="B141" s="21" t="s">
        <v>49</v>
      </c>
      <c r="C141" s="57">
        <v>40883</v>
      </c>
      <c r="D141" s="57">
        <v>43259</v>
      </c>
      <c r="E141" s="20" t="s">
        <v>51</v>
      </c>
      <c r="F141" s="18" t="s">
        <v>19</v>
      </c>
      <c r="G141" s="49"/>
      <c r="H141" s="33">
        <v>3920</v>
      </c>
      <c r="I141" s="37">
        <f t="shared" si="9"/>
        <v>3920</v>
      </c>
      <c r="J141" s="22">
        <f t="shared" si="8"/>
        <v>0</v>
      </c>
      <c r="K141" s="106"/>
      <c r="L141" s="106"/>
      <c r="M141" s="106"/>
      <c r="N141" s="106"/>
    </row>
    <row r="142" spans="1:16" x14ac:dyDescent="0.2">
      <c r="B142" s="21" t="s">
        <v>50</v>
      </c>
      <c r="C142" s="57">
        <v>40701</v>
      </c>
      <c r="D142" s="57">
        <v>44351</v>
      </c>
      <c r="E142" s="20" t="s">
        <v>52</v>
      </c>
      <c r="F142" s="18" t="s">
        <v>19</v>
      </c>
      <c r="G142" s="18"/>
      <c r="H142" s="33">
        <v>2120</v>
      </c>
      <c r="I142" s="37">
        <f t="shared" si="9"/>
        <v>2120</v>
      </c>
      <c r="J142" s="22">
        <f t="shared" si="8"/>
        <v>0</v>
      </c>
    </row>
    <row r="143" spans="1:16" x14ac:dyDescent="0.2">
      <c r="B143" s="21" t="s">
        <v>50</v>
      </c>
      <c r="C143" s="57">
        <v>40732</v>
      </c>
      <c r="D143" s="57">
        <v>44351</v>
      </c>
      <c r="E143" s="20" t="s">
        <v>52</v>
      </c>
      <c r="F143" s="18" t="s">
        <v>19</v>
      </c>
      <c r="G143" s="18"/>
      <c r="H143" s="33">
        <v>2400</v>
      </c>
      <c r="I143" s="37">
        <f t="shared" si="9"/>
        <v>2400</v>
      </c>
      <c r="J143" s="22">
        <f t="shared" si="8"/>
        <v>0</v>
      </c>
    </row>
    <row r="144" spans="1:16" x14ac:dyDescent="0.2">
      <c r="B144" s="21" t="s">
        <v>50</v>
      </c>
      <c r="C144" s="57">
        <v>40760</v>
      </c>
      <c r="D144" s="57">
        <v>44351</v>
      </c>
      <c r="E144" s="20" t="s">
        <v>52</v>
      </c>
      <c r="F144" s="18" t="s">
        <v>19</v>
      </c>
      <c r="G144" s="18"/>
      <c r="H144" s="33">
        <v>1171.8</v>
      </c>
      <c r="I144" s="37">
        <f t="shared" si="9"/>
        <v>1171.8</v>
      </c>
      <c r="J144" s="22">
        <f t="shared" si="8"/>
        <v>0</v>
      </c>
    </row>
    <row r="145" spans="1:16" x14ac:dyDescent="0.2">
      <c r="B145" s="21" t="s">
        <v>50</v>
      </c>
      <c r="C145" s="57">
        <v>40795</v>
      </c>
      <c r="D145" s="57">
        <v>44351</v>
      </c>
      <c r="E145" s="20" t="s">
        <v>52</v>
      </c>
      <c r="F145" s="18" t="s">
        <v>19</v>
      </c>
      <c r="G145" s="18"/>
      <c r="H145" s="33">
        <v>3200</v>
      </c>
      <c r="I145" s="37">
        <f t="shared" si="9"/>
        <v>3200</v>
      </c>
      <c r="J145" s="22">
        <f t="shared" si="8"/>
        <v>0</v>
      </c>
    </row>
    <row r="146" spans="1:16" x14ac:dyDescent="0.2">
      <c r="B146" s="21" t="s">
        <v>50</v>
      </c>
      <c r="C146" s="57">
        <v>40820</v>
      </c>
      <c r="D146" s="57">
        <v>44351</v>
      </c>
      <c r="E146" s="20" t="s">
        <v>52</v>
      </c>
      <c r="F146" s="18" t="s">
        <v>19</v>
      </c>
      <c r="G146" s="18"/>
      <c r="H146" s="33">
        <v>1260</v>
      </c>
      <c r="I146" s="37">
        <f t="shared" si="9"/>
        <v>1260</v>
      </c>
      <c r="J146" s="22">
        <f t="shared" si="8"/>
        <v>0</v>
      </c>
    </row>
    <row r="147" spans="1:16" x14ac:dyDescent="0.2">
      <c r="B147" s="21" t="s">
        <v>50</v>
      </c>
      <c r="C147" s="57">
        <v>40848</v>
      </c>
      <c r="D147" s="57">
        <v>44351</v>
      </c>
      <c r="E147" s="20" t="s">
        <v>52</v>
      </c>
      <c r="F147" s="18" t="s">
        <v>19</v>
      </c>
      <c r="G147" s="18"/>
      <c r="H147" s="33">
        <v>1983</v>
      </c>
      <c r="I147" s="37">
        <f t="shared" si="9"/>
        <v>1983</v>
      </c>
      <c r="J147" s="22">
        <f t="shared" si="8"/>
        <v>0</v>
      </c>
    </row>
    <row r="148" spans="1:16" x14ac:dyDescent="0.2">
      <c r="B148" s="21" t="s">
        <v>50</v>
      </c>
      <c r="C148" s="57">
        <v>40883</v>
      </c>
      <c r="D148" s="57">
        <v>44351</v>
      </c>
      <c r="E148" s="20" t="s">
        <v>52</v>
      </c>
      <c r="F148" s="18" t="s">
        <v>19</v>
      </c>
      <c r="H148" s="33">
        <v>865.2</v>
      </c>
      <c r="I148" s="37">
        <f t="shared" si="9"/>
        <v>865.2</v>
      </c>
      <c r="J148" s="22">
        <f t="shared" si="8"/>
        <v>0</v>
      </c>
    </row>
    <row r="149" spans="1:16" ht="13.5" thickBot="1" x14ac:dyDescent="0.25">
      <c r="B149" s="59"/>
      <c r="C149" s="59"/>
      <c r="D149" s="59"/>
      <c r="E149" s="59"/>
      <c r="F149" s="59"/>
      <c r="G149" s="59"/>
      <c r="H149" s="59"/>
      <c r="I149" s="59"/>
      <c r="J149" s="59"/>
    </row>
    <row r="150" spans="1:16" s="62" customFormat="1" x14ac:dyDescent="0.2">
      <c r="A150" s="23"/>
      <c r="B150" s="73"/>
      <c r="C150" s="73"/>
      <c r="D150" s="73"/>
      <c r="E150" s="49"/>
      <c r="F150" s="49"/>
      <c r="G150" s="49"/>
      <c r="H150" s="49"/>
      <c r="I150" s="49"/>
      <c r="J150" s="74"/>
      <c r="K150" s="100"/>
      <c r="L150" s="100"/>
      <c r="M150" s="100"/>
      <c r="N150" s="100"/>
      <c r="O150" s="49"/>
      <c r="P150" s="49"/>
    </row>
    <row r="151" spans="1:16" s="62" customFormat="1" x14ac:dyDescent="0.2">
      <c r="A151" s="23"/>
      <c r="B151" s="73"/>
      <c r="C151" s="73"/>
      <c r="D151" s="73"/>
      <c r="E151" s="49"/>
      <c r="F151" s="49"/>
      <c r="G151" s="54"/>
      <c r="H151" s="49"/>
      <c r="I151" s="49"/>
      <c r="J151" s="74"/>
      <c r="K151" s="100"/>
      <c r="L151" s="100"/>
      <c r="M151" s="100"/>
      <c r="N151" s="100"/>
      <c r="O151" s="49"/>
      <c r="P151" s="49"/>
    </row>
    <row r="152" spans="1:16" s="62" customFormat="1" ht="12.75" customHeight="1" x14ac:dyDescent="0.2">
      <c r="A152" s="23"/>
      <c r="B152" s="73"/>
      <c r="C152" s="73"/>
      <c r="D152" s="73"/>
      <c r="E152" s="49"/>
      <c r="F152" s="49"/>
      <c r="G152" s="49"/>
      <c r="H152" s="49"/>
      <c r="I152" s="49"/>
      <c r="J152" s="74"/>
      <c r="K152" s="100"/>
      <c r="L152" s="100"/>
      <c r="M152" s="100"/>
      <c r="N152" s="100"/>
      <c r="O152" s="49"/>
      <c r="P152" s="49"/>
    </row>
    <row r="153" spans="1:16" s="62" customFormat="1" ht="15" x14ac:dyDescent="0.25">
      <c r="A153" s="23"/>
      <c r="B153" s="93" t="s">
        <v>57</v>
      </c>
      <c r="C153" s="93"/>
      <c r="D153" s="93"/>
      <c r="E153" s="93"/>
      <c r="F153" s="93"/>
      <c r="G153" s="93"/>
      <c r="H153" s="93"/>
      <c r="I153" s="93"/>
      <c r="J153" s="93"/>
      <c r="K153" s="100"/>
      <c r="L153" s="100"/>
      <c r="M153" s="100"/>
      <c r="N153" s="100"/>
      <c r="O153" s="49"/>
      <c r="P153" s="49"/>
    </row>
    <row r="154" spans="1:16" s="62" customFormat="1" x14ac:dyDescent="0.2">
      <c r="A154" s="23"/>
      <c r="B154" s="1"/>
      <c r="C154" s="1"/>
      <c r="D154" s="1"/>
      <c r="E154" s="1"/>
      <c r="F154" s="1"/>
      <c r="G154" s="1"/>
      <c r="H154" s="1"/>
      <c r="I154" s="1"/>
      <c r="J154" s="61"/>
      <c r="K154" s="100"/>
      <c r="L154" s="100"/>
      <c r="M154" s="100"/>
      <c r="N154" s="100"/>
      <c r="O154" s="49"/>
      <c r="P154" s="49"/>
    </row>
    <row r="155" spans="1:16" s="62" customFormat="1" x14ac:dyDescent="0.2">
      <c r="A155" s="23"/>
      <c r="B155" s="94" t="s">
        <v>4</v>
      </c>
      <c r="C155" s="94"/>
      <c r="D155" s="94"/>
      <c r="E155" s="94"/>
      <c r="F155" s="94"/>
      <c r="G155" s="94"/>
      <c r="H155" s="94"/>
      <c r="I155" s="94"/>
      <c r="J155" s="94"/>
      <c r="K155" s="100"/>
      <c r="L155" s="100"/>
      <c r="M155" s="100"/>
      <c r="N155" s="100"/>
      <c r="O155" s="49"/>
      <c r="P155" s="49"/>
    </row>
    <row r="156" spans="1:16" s="62" customFormat="1" ht="25.5" x14ac:dyDescent="0.2">
      <c r="A156" s="23"/>
      <c r="B156" s="95" t="s">
        <v>0</v>
      </c>
      <c r="C156" s="95" t="s">
        <v>31</v>
      </c>
      <c r="D156" s="95" t="s">
        <v>1</v>
      </c>
      <c r="E156" s="95" t="s">
        <v>8</v>
      </c>
      <c r="F156" s="95" t="s">
        <v>18</v>
      </c>
      <c r="G156" s="95" t="s">
        <v>14</v>
      </c>
      <c r="H156" s="95" t="s">
        <v>6</v>
      </c>
      <c r="I156" s="95" t="s">
        <v>2</v>
      </c>
      <c r="J156" s="84" t="s">
        <v>3</v>
      </c>
      <c r="K156" s="100"/>
      <c r="L156" s="100"/>
      <c r="M156" s="100"/>
      <c r="N156" s="100"/>
      <c r="O156" s="49"/>
      <c r="P156" s="49"/>
    </row>
    <row r="157" spans="1:16" s="56" customFormat="1" x14ac:dyDescent="0.2">
      <c r="A157" s="24"/>
      <c r="B157" s="96"/>
      <c r="C157" s="96"/>
      <c r="D157" s="96"/>
      <c r="E157" s="96"/>
      <c r="F157" s="96"/>
      <c r="G157" s="96"/>
      <c r="H157" s="96"/>
      <c r="I157" s="96"/>
      <c r="J157" s="85">
        <f>+J128</f>
        <v>45716</v>
      </c>
      <c r="K157" s="103"/>
      <c r="L157" s="103"/>
      <c r="M157" s="103"/>
      <c r="N157" s="103"/>
      <c r="O157" s="65"/>
      <c r="P157" s="65"/>
    </row>
    <row r="158" spans="1:16" s="56" customFormat="1" x14ac:dyDescent="0.2">
      <c r="A158" s="24"/>
      <c r="B158" s="2"/>
      <c r="C158" s="2"/>
      <c r="D158" s="2"/>
      <c r="E158" s="2"/>
      <c r="F158" s="2"/>
      <c r="G158" s="76"/>
      <c r="H158" s="2"/>
      <c r="I158" s="2"/>
      <c r="J158" s="10"/>
      <c r="K158" s="103"/>
      <c r="L158" s="103"/>
      <c r="M158" s="103"/>
      <c r="N158" s="103"/>
      <c r="O158" s="65"/>
      <c r="P158" s="65"/>
    </row>
    <row r="159" spans="1:16" s="56" customFormat="1" ht="15.75" thickBot="1" x14ac:dyDescent="0.3">
      <c r="A159" s="24" t="s">
        <v>153</v>
      </c>
      <c r="B159" s="2"/>
      <c r="C159" s="2"/>
      <c r="D159" s="2"/>
      <c r="E159" s="14" t="s">
        <v>22</v>
      </c>
      <c r="F159" s="5"/>
      <c r="G159" s="15">
        <v>18363.385917</v>
      </c>
      <c r="H159" s="15">
        <f>SUM(H160:H171)</f>
        <v>18000</v>
      </c>
      <c r="I159" s="34">
        <f>SUM(I160:I171)</f>
        <v>18000</v>
      </c>
      <c r="J159" s="15">
        <f>SUM(J160:J171)</f>
        <v>0</v>
      </c>
      <c r="K159" s="103"/>
      <c r="L159" s="103"/>
      <c r="M159" s="103"/>
      <c r="N159" s="103"/>
      <c r="O159" s="65"/>
      <c r="P159" s="65"/>
    </row>
    <row r="160" spans="1:16" s="56" customFormat="1" ht="13.5" thickTop="1" x14ac:dyDescent="0.2">
      <c r="A160" s="24"/>
      <c r="B160" s="21" t="s">
        <v>55</v>
      </c>
      <c r="C160" s="57">
        <v>40946</v>
      </c>
      <c r="D160" s="57">
        <v>44596</v>
      </c>
      <c r="E160" s="20" t="s">
        <v>56</v>
      </c>
      <c r="F160" s="18" t="s">
        <v>19</v>
      </c>
      <c r="G160" s="18"/>
      <c r="H160" s="33">
        <v>7715</v>
      </c>
      <c r="I160" s="37">
        <f>IF($J$157&gt;=D160,H160,(6927.3/2))</f>
        <v>7715</v>
      </c>
      <c r="J160" s="22">
        <f>H160-I160</f>
        <v>0</v>
      </c>
      <c r="K160" s="103"/>
      <c r="L160" s="103"/>
      <c r="M160" s="103"/>
      <c r="N160" s="103"/>
      <c r="O160" s="65"/>
      <c r="P160" s="65"/>
    </row>
    <row r="161" spans="1:16" s="56" customFormat="1" x14ac:dyDescent="0.2">
      <c r="A161" s="24"/>
      <c r="B161" s="21" t="s">
        <v>55</v>
      </c>
      <c r="C161" s="57">
        <v>40974</v>
      </c>
      <c r="D161" s="57">
        <v>44596</v>
      </c>
      <c r="E161" s="20" t="s">
        <v>56</v>
      </c>
      <c r="F161" s="18" t="s">
        <v>19</v>
      </c>
      <c r="G161" s="18"/>
      <c r="H161" s="33">
        <v>4285</v>
      </c>
      <c r="I161" s="37">
        <f>IF($J$157&gt;=D161,H161,(6927.3/2))</f>
        <v>4285</v>
      </c>
      <c r="J161" s="32">
        <f t="shared" ref="J161:J171" si="10">+H161-I161</f>
        <v>0</v>
      </c>
      <c r="K161" s="103"/>
      <c r="L161" s="103"/>
      <c r="M161" s="103"/>
      <c r="N161" s="103"/>
      <c r="O161" s="65"/>
      <c r="P161" s="65"/>
    </row>
    <row r="162" spans="1:16" s="56" customFormat="1" x14ac:dyDescent="0.2">
      <c r="A162" s="24"/>
      <c r="B162" s="21" t="s">
        <v>59</v>
      </c>
      <c r="C162" s="57">
        <v>41009</v>
      </c>
      <c r="D162" s="57">
        <v>43560</v>
      </c>
      <c r="E162" s="20" t="s">
        <v>60</v>
      </c>
      <c r="F162" s="18" t="s">
        <v>19</v>
      </c>
      <c r="G162" s="18"/>
      <c r="H162" s="33">
        <v>125</v>
      </c>
      <c r="I162" s="37">
        <f t="shared" ref="I162:I171" si="11">IF($J$157&gt;=D162,H162,0)</f>
        <v>125</v>
      </c>
      <c r="J162" s="32">
        <f>+H162-I162</f>
        <v>0</v>
      </c>
      <c r="K162" s="103"/>
      <c r="L162" s="103"/>
      <c r="M162" s="103"/>
      <c r="N162" s="103"/>
      <c r="O162" s="65"/>
      <c r="P162" s="65"/>
    </row>
    <row r="163" spans="1:16" s="56" customFormat="1" x14ac:dyDescent="0.2">
      <c r="A163" s="24"/>
      <c r="B163" s="21" t="s">
        <v>59</v>
      </c>
      <c r="C163" s="57">
        <v>41030</v>
      </c>
      <c r="D163" s="57">
        <v>43560</v>
      </c>
      <c r="E163" s="20" t="s">
        <v>60</v>
      </c>
      <c r="F163" s="18" t="s">
        <v>19</v>
      </c>
      <c r="G163" s="18"/>
      <c r="H163" s="33">
        <v>40</v>
      </c>
      <c r="I163" s="37">
        <f t="shared" si="11"/>
        <v>40</v>
      </c>
      <c r="J163" s="32">
        <f t="shared" si="10"/>
        <v>0</v>
      </c>
      <c r="K163" s="103"/>
      <c r="L163" s="103"/>
      <c r="M163" s="103"/>
      <c r="N163" s="103"/>
      <c r="O163" s="65"/>
      <c r="P163" s="65"/>
    </row>
    <row r="164" spans="1:16" s="56" customFormat="1" x14ac:dyDescent="0.2">
      <c r="A164" s="24"/>
      <c r="B164" s="21" t="s">
        <v>59</v>
      </c>
      <c r="C164" s="57">
        <v>41065</v>
      </c>
      <c r="D164" s="57">
        <v>43560</v>
      </c>
      <c r="E164" s="20" t="s">
        <v>60</v>
      </c>
      <c r="F164" s="18" t="s">
        <v>19</v>
      </c>
      <c r="G164" s="18"/>
      <c r="H164" s="33">
        <v>700</v>
      </c>
      <c r="I164" s="37">
        <f t="shared" si="11"/>
        <v>700</v>
      </c>
      <c r="J164" s="32">
        <f t="shared" si="10"/>
        <v>0</v>
      </c>
      <c r="K164" s="103"/>
      <c r="L164" s="103"/>
      <c r="M164" s="103"/>
      <c r="N164" s="103"/>
      <c r="O164" s="65"/>
      <c r="P164" s="65"/>
    </row>
    <row r="165" spans="1:16" x14ac:dyDescent="0.2">
      <c r="A165" s="35">
        <v>41065</v>
      </c>
      <c r="B165" s="21" t="s">
        <v>59</v>
      </c>
      <c r="C165" s="57">
        <v>41093</v>
      </c>
      <c r="D165" s="57">
        <v>43560</v>
      </c>
      <c r="E165" s="20" t="s">
        <v>60</v>
      </c>
      <c r="F165" s="18" t="s">
        <v>19</v>
      </c>
      <c r="G165" s="18"/>
      <c r="H165" s="33">
        <v>1000</v>
      </c>
      <c r="I165" s="37">
        <f t="shared" si="11"/>
        <v>1000</v>
      </c>
      <c r="J165" s="32">
        <f t="shared" si="10"/>
        <v>0</v>
      </c>
    </row>
    <row r="166" spans="1:16" x14ac:dyDescent="0.2">
      <c r="A166" s="35">
        <v>41065</v>
      </c>
      <c r="B166" s="21" t="s">
        <v>59</v>
      </c>
      <c r="C166" s="57">
        <v>41094</v>
      </c>
      <c r="D166" s="57">
        <v>43560</v>
      </c>
      <c r="E166" s="20" t="s">
        <v>60</v>
      </c>
      <c r="F166" s="18" t="s">
        <v>19</v>
      </c>
      <c r="G166" s="18"/>
      <c r="H166" s="33">
        <v>2000</v>
      </c>
      <c r="I166" s="37">
        <f t="shared" si="11"/>
        <v>2000</v>
      </c>
      <c r="J166" s="32">
        <f t="shared" si="10"/>
        <v>0</v>
      </c>
    </row>
    <row r="167" spans="1:16" x14ac:dyDescent="0.2">
      <c r="A167" s="35">
        <v>41065</v>
      </c>
      <c r="B167" s="21" t="s">
        <v>59</v>
      </c>
      <c r="C167" s="57">
        <v>41128</v>
      </c>
      <c r="D167" s="57">
        <v>43560</v>
      </c>
      <c r="E167" s="20" t="s">
        <v>60</v>
      </c>
      <c r="F167" s="18" t="s">
        <v>19</v>
      </c>
      <c r="G167" s="18"/>
      <c r="H167" s="33">
        <v>500</v>
      </c>
      <c r="I167" s="37">
        <f t="shared" si="11"/>
        <v>500</v>
      </c>
      <c r="J167" s="32">
        <f t="shared" si="10"/>
        <v>0</v>
      </c>
    </row>
    <row r="168" spans="1:16" x14ac:dyDescent="0.2">
      <c r="A168" s="35">
        <v>41065</v>
      </c>
      <c r="B168" s="21" t="s">
        <v>59</v>
      </c>
      <c r="C168" s="57">
        <v>41156</v>
      </c>
      <c r="D168" s="57">
        <v>43560</v>
      </c>
      <c r="E168" s="20" t="s">
        <v>60</v>
      </c>
      <c r="F168" s="18" t="s">
        <v>19</v>
      </c>
      <c r="G168" s="18"/>
      <c r="H168" s="33">
        <v>1000</v>
      </c>
      <c r="I168" s="37">
        <f t="shared" si="11"/>
        <v>1000</v>
      </c>
      <c r="J168" s="32">
        <f t="shared" si="10"/>
        <v>0</v>
      </c>
    </row>
    <row r="169" spans="1:16" x14ac:dyDescent="0.2">
      <c r="B169" s="21" t="s">
        <v>59</v>
      </c>
      <c r="C169" s="57">
        <v>41184</v>
      </c>
      <c r="D169" s="57">
        <v>43560</v>
      </c>
      <c r="E169" s="20" t="s">
        <v>60</v>
      </c>
      <c r="F169" s="18" t="s">
        <v>19</v>
      </c>
      <c r="G169" s="18"/>
      <c r="H169" s="33">
        <v>400</v>
      </c>
      <c r="I169" s="37">
        <f t="shared" si="11"/>
        <v>400</v>
      </c>
      <c r="J169" s="32">
        <f t="shared" si="10"/>
        <v>0</v>
      </c>
    </row>
    <row r="170" spans="1:16" x14ac:dyDescent="0.2">
      <c r="B170" s="21" t="s">
        <v>59</v>
      </c>
      <c r="C170" s="57">
        <v>41219</v>
      </c>
      <c r="D170" s="57">
        <v>43560</v>
      </c>
      <c r="E170" s="20" t="s">
        <v>60</v>
      </c>
      <c r="F170" s="18" t="s">
        <v>19</v>
      </c>
      <c r="G170" s="18"/>
      <c r="H170" s="33">
        <v>185</v>
      </c>
      <c r="I170" s="37">
        <f t="shared" si="11"/>
        <v>185</v>
      </c>
      <c r="J170" s="32">
        <f t="shared" si="10"/>
        <v>0</v>
      </c>
    </row>
    <row r="171" spans="1:16" x14ac:dyDescent="0.2">
      <c r="B171" s="21" t="s">
        <v>59</v>
      </c>
      <c r="C171" s="57">
        <v>41247</v>
      </c>
      <c r="D171" s="57">
        <v>43560</v>
      </c>
      <c r="E171" s="20" t="s">
        <v>60</v>
      </c>
      <c r="F171" s="18" t="s">
        <v>19</v>
      </c>
      <c r="G171" s="18"/>
      <c r="H171" s="33">
        <v>50</v>
      </c>
      <c r="I171" s="37">
        <f t="shared" si="11"/>
        <v>50</v>
      </c>
      <c r="J171" s="32">
        <f t="shared" si="10"/>
        <v>0</v>
      </c>
    </row>
    <row r="172" spans="1:16" ht="13.5" thickBot="1" x14ac:dyDescent="0.25">
      <c r="B172" s="59"/>
      <c r="C172" s="59"/>
      <c r="D172" s="59"/>
      <c r="E172" s="59"/>
      <c r="F172" s="59"/>
      <c r="G172" s="59"/>
      <c r="H172" s="59"/>
      <c r="I172" s="59"/>
      <c r="J172" s="59"/>
    </row>
    <row r="173" spans="1:16" s="62" customFormat="1" x14ac:dyDescent="0.2">
      <c r="A173" s="23"/>
      <c r="B173" s="69"/>
      <c r="C173" s="69"/>
      <c r="D173" s="69"/>
      <c r="E173" s="69"/>
      <c r="F173" s="69"/>
      <c r="G173" s="69"/>
      <c r="H173" s="69"/>
      <c r="I173" s="69"/>
      <c r="J173" s="69"/>
      <c r="K173" s="100"/>
      <c r="L173" s="100"/>
      <c r="M173" s="100"/>
      <c r="N173" s="100"/>
      <c r="O173" s="49"/>
      <c r="P173" s="49"/>
    </row>
    <row r="174" spans="1:16" s="62" customFormat="1" x14ac:dyDescent="0.2">
      <c r="A174" s="23"/>
      <c r="B174" s="69"/>
      <c r="C174" s="69"/>
      <c r="D174" s="69"/>
      <c r="E174" s="69"/>
      <c r="F174" s="69"/>
      <c r="G174" s="69"/>
      <c r="H174" s="69"/>
      <c r="I174" s="69"/>
      <c r="J174" s="69"/>
      <c r="K174" s="100"/>
      <c r="L174" s="100"/>
      <c r="M174" s="100"/>
      <c r="N174" s="100"/>
      <c r="O174" s="49"/>
      <c r="P174" s="49"/>
    </row>
    <row r="175" spans="1:16" s="62" customFormat="1" ht="12.75" customHeight="1" x14ac:dyDescent="0.2">
      <c r="A175" s="23"/>
      <c r="B175" s="73"/>
      <c r="C175" s="73"/>
      <c r="D175" s="73"/>
      <c r="E175" s="49"/>
      <c r="F175" s="49"/>
      <c r="G175" s="49"/>
      <c r="H175" s="49"/>
      <c r="I175" s="49"/>
      <c r="J175" s="74"/>
      <c r="K175" s="100"/>
      <c r="L175" s="100"/>
      <c r="M175" s="100"/>
      <c r="N175" s="100"/>
      <c r="O175" s="49"/>
      <c r="P175" s="49"/>
    </row>
    <row r="176" spans="1:16" s="62" customFormat="1" ht="15" x14ac:dyDescent="0.25">
      <c r="A176" s="23"/>
      <c r="B176" s="93" t="s">
        <v>63</v>
      </c>
      <c r="C176" s="93"/>
      <c r="D176" s="93"/>
      <c r="E176" s="93"/>
      <c r="F176" s="93"/>
      <c r="G176" s="93"/>
      <c r="H176" s="93"/>
      <c r="I176" s="93"/>
      <c r="J176" s="93"/>
      <c r="K176" s="100"/>
      <c r="L176" s="100"/>
      <c r="M176" s="100"/>
      <c r="N176" s="100"/>
      <c r="O176" s="49"/>
      <c r="P176" s="49"/>
    </row>
    <row r="177" spans="1:16" s="62" customFormat="1" x14ac:dyDescent="0.2">
      <c r="A177" s="23"/>
      <c r="B177" s="1"/>
      <c r="C177" s="1"/>
      <c r="D177" s="1"/>
      <c r="E177" s="1"/>
      <c r="F177" s="1"/>
      <c r="G177" s="1"/>
      <c r="H177" s="1"/>
      <c r="I177" s="1"/>
      <c r="J177" s="61"/>
      <c r="K177" s="100"/>
      <c r="L177" s="100"/>
      <c r="M177" s="100"/>
      <c r="N177" s="100"/>
      <c r="O177" s="49"/>
      <c r="P177" s="49"/>
    </row>
    <row r="178" spans="1:16" s="62" customFormat="1" x14ac:dyDescent="0.2">
      <c r="A178" s="23"/>
      <c r="B178" s="94" t="s">
        <v>4</v>
      </c>
      <c r="C178" s="94"/>
      <c r="D178" s="94"/>
      <c r="E178" s="94"/>
      <c r="F178" s="94"/>
      <c r="G178" s="94"/>
      <c r="H178" s="94"/>
      <c r="I178" s="94"/>
      <c r="J178" s="94"/>
      <c r="K178" s="100"/>
      <c r="L178" s="100"/>
      <c r="M178" s="100"/>
      <c r="N178" s="100"/>
      <c r="O178" s="49"/>
      <c r="P178" s="49"/>
    </row>
    <row r="179" spans="1:16" s="62" customFormat="1" ht="25.5" x14ac:dyDescent="0.2">
      <c r="A179" s="23"/>
      <c r="B179" s="95" t="s">
        <v>0</v>
      </c>
      <c r="C179" s="95" t="s">
        <v>31</v>
      </c>
      <c r="D179" s="95" t="s">
        <v>1</v>
      </c>
      <c r="E179" s="95" t="s">
        <v>8</v>
      </c>
      <c r="F179" s="95" t="s">
        <v>18</v>
      </c>
      <c r="G179" s="95" t="s">
        <v>14</v>
      </c>
      <c r="H179" s="95" t="s">
        <v>6</v>
      </c>
      <c r="I179" s="95" t="s">
        <v>2</v>
      </c>
      <c r="J179" s="84" t="s">
        <v>3</v>
      </c>
      <c r="K179" s="100"/>
      <c r="L179" s="100"/>
      <c r="M179" s="100"/>
      <c r="N179" s="100"/>
      <c r="O179" s="49"/>
      <c r="P179" s="49"/>
    </row>
    <row r="180" spans="1:16" s="56" customFormat="1" x14ac:dyDescent="0.2">
      <c r="A180" s="24"/>
      <c r="B180" s="96"/>
      <c r="C180" s="96"/>
      <c r="D180" s="96"/>
      <c r="E180" s="96"/>
      <c r="F180" s="96"/>
      <c r="G180" s="96"/>
      <c r="H180" s="96"/>
      <c r="I180" s="96"/>
      <c r="J180" s="85">
        <f>+J157</f>
        <v>45716</v>
      </c>
      <c r="K180" s="103"/>
      <c r="L180" s="103"/>
      <c r="M180" s="103"/>
      <c r="N180" s="103"/>
      <c r="O180" s="65"/>
      <c r="P180" s="65"/>
    </row>
    <row r="181" spans="1:16" s="56" customFormat="1" x14ac:dyDescent="0.2">
      <c r="A181" s="24"/>
      <c r="B181" s="2"/>
      <c r="C181" s="2"/>
      <c r="D181" s="2"/>
      <c r="E181" s="2"/>
      <c r="F181" s="2"/>
      <c r="G181" s="76"/>
      <c r="H181" s="2"/>
      <c r="I181" s="2"/>
      <c r="J181" s="10"/>
      <c r="K181" s="103"/>
      <c r="L181" s="103"/>
      <c r="M181" s="103"/>
      <c r="N181" s="103"/>
      <c r="O181" s="65"/>
      <c r="P181" s="65"/>
    </row>
    <row r="182" spans="1:16" s="56" customFormat="1" ht="15.75" thickBot="1" x14ac:dyDescent="0.3">
      <c r="A182" s="24" t="s">
        <v>153</v>
      </c>
      <c r="B182" s="2"/>
      <c r="C182" s="2"/>
      <c r="D182" s="2"/>
      <c r="E182" s="14" t="s">
        <v>22</v>
      </c>
      <c r="F182" s="5"/>
      <c r="G182" s="15">
        <v>45208.347502999997</v>
      </c>
      <c r="H182" s="15">
        <f>SUM(H183:H211)</f>
        <v>27148</v>
      </c>
      <c r="I182" s="15">
        <f>SUM(I183:I211)</f>
        <v>17148</v>
      </c>
      <c r="J182" s="15">
        <f>SUM(J183:J211)</f>
        <v>10000</v>
      </c>
      <c r="K182" s="103"/>
      <c r="L182" s="103"/>
      <c r="M182" s="103"/>
      <c r="N182" s="103"/>
      <c r="O182" s="65"/>
      <c r="P182" s="65"/>
    </row>
    <row r="183" spans="1:16" s="56" customFormat="1" ht="13.5" thickTop="1" x14ac:dyDescent="0.2">
      <c r="A183" s="24"/>
      <c r="B183" s="21" t="s">
        <v>65</v>
      </c>
      <c r="C183" s="57">
        <v>41338</v>
      </c>
      <c r="D183" s="57">
        <v>43140</v>
      </c>
      <c r="E183" s="20" t="s">
        <v>68</v>
      </c>
      <c r="F183" s="18" t="s">
        <v>19</v>
      </c>
      <c r="G183" s="18"/>
      <c r="H183" s="33">
        <v>29.5</v>
      </c>
      <c r="I183" s="33">
        <f>IF($J$180&gt;=D183,H183,0)</f>
        <v>29.5</v>
      </c>
      <c r="J183" s="22">
        <f>H183-I183</f>
        <v>0</v>
      </c>
      <c r="K183" s="103"/>
      <c r="L183" s="103"/>
      <c r="M183" s="103"/>
      <c r="N183" s="103"/>
      <c r="O183" s="65"/>
      <c r="P183" s="65"/>
    </row>
    <row r="184" spans="1:16" s="56" customFormat="1" x14ac:dyDescent="0.2">
      <c r="A184" s="24"/>
      <c r="B184" s="21" t="s">
        <v>65</v>
      </c>
      <c r="C184" s="57">
        <v>41339</v>
      </c>
      <c r="D184" s="57">
        <v>43140</v>
      </c>
      <c r="E184" s="20" t="s">
        <v>68</v>
      </c>
      <c r="F184" s="18" t="s">
        <v>19</v>
      </c>
      <c r="G184" s="18"/>
      <c r="H184" s="33">
        <v>350</v>
      </c>
      <c r="I184" s="33">
        <f t="shared" ref="I184:I211" si="12">IF($J$180&gt;=D184,H184,0)</f>
        <v>350</v>
      </c>
      <c r="J184" s="32">
        <f t="shared" ref="J184:J211" si="13">+H184-I184</f>
        <v>0</v>
      </c>
      <c r="K184" s="103"/>
      <c r="L184" s="103"/>
      <c r="M184" s="103"/>
      <c r="N184" s="103"/>
      <c r="O184" s="65"/>
      <c r="P184" s="65"/>
    </row>
    <row r="185" spans="1:16" s="56" customFormat="1" x14ac:dyDescent="0.2">
      <c r="A185" s="24"/>
      <c r="B185" s="21" t="s">
        <v>65</v>
      </c>
      <c r="C185" s="57">
        <v>41366</v>
      </c>
      <c r="D185" s="57">
        <v>43140</v>
      </c>
      <c r="E185" s="20" t="s">
        <v>68</v>
      </c>
      <c r="F185" s="18" t="s">
        <v>19</v>
      </c>
      <c r="G185" s="18"/>
      <c r="H185" s="33">
        <v>300</v>
      </c>
      <c r="I185" s="33">
        <f t="shared" si="12"/>
        <v>300</v>
      </c>
      <c r="J185" s="32">
        <f t="shared" si="13"/>
        <v>0</v>
      </c>
      <c r="K185" s="103"/>
      <c r="L185" s="103"/>
      <c r="M185" s="103"/>
      <c r="N185" s="103"/>
      <c r="O185" s="65"/>
      <c r="P185" s="65"/>
    </row>
    <row r="186" spans="1:16" s="56" customFormat="1" x14ac:dyDescent="0.2">
      <c r="A186" s="24"/>
      <c r="B186" s="21" t="s">
        <v>65</v>
      </c>
      <c r="C186" s="57">
        <v>41401</v>
      </c>
      <c r="D186" s="57">
        <v>43140</v>
      </c>
      <c r="E186" s="20" t="s">
        <v>68</v>
      </c>
      <c r="F186" s="18" t="s">
        <v>19</v>
      </c>
      <c r="G186" s="18"/>
      <c r="H186" s="33">
        <v>1500</v>
      </c>
      <c r="I186" s="33">
        <f t="shared" si="12"/>
        <v>1500</v>
      </c>
      <c r="J186" s="32">
        <f t="shared" si="13"/>
        <v>0</v>
      </c>
      <c r="K186" s="103"/>
      <c r="L186" s="103"/>
      <c r="M186" s="103"/>
      <c r="N186" s="103"/>
      <c r="O186" s="65"/>
      <c r="P186" s="65"/>
    </row>
    <row r="187" spans="1:16" s="56" customFormat="1" x14ac:dyDescent="0.2">
      <c r="A187" s="24"/>
      <c r="B187" s="21" t="s">
        <v>65</v>
      </c>
      <c r="C187" s="57">
        <v>41429</v>
      </c>
      <c r="D187" s="57">
        <v>43140</v>
      </c>
      <c r="E187" s="20" t="s">
        <v>68</v>
      </c>
      <c r="F187" s="18" t="s">
        <v>19</v>
      </c>
      <c r="G187" s="18"/>
      <c r="H187" s="33">
        <v>500</v>
      </c>
      <c r="I187" s="33">
        <f t="shared" si="12"/>
        <v>500</v>
      </c>
      <c r="J187" s="32">
        <f t="shared" si="13"/>
        <v>0</v>
      </c>
      <c r="K187" s="103"/>
      <c r="L187" s="103"/>
      <c r="M187" s="103"/>
      <c r="N187" s="103"/>
      <c r="O187" s="65"/>
      <c r="P187" s="65"/>
    </row>
    <row r="188" spans="1:16" s="56" customFormat="1" x14ac:dyDescent="0.2">
      <c r="A188" s="24"/>
      <c r="B188" s="21" t="s">
        <v>65</v>
      </c>
      <c r="C188" s="57">
        <v>41430</v>
      </c>
      <c r="D188" s="57">
        <v>43140</v>
      </c>
      <c r="E188" s="20" t="s">
        <v>68</v>
      </c>
      <c r="F188" s="18" t="s">
        <v>19</v>
      </c>
      <c r="G188" s="18"/>
      <c r="H188" s="33">
        <v>500</v>
      </c>
      <c r="I188" s="33">
        <f t="shared" si="12"/>
        <v>500</v>
      </c>
      <c r="J188" s="32">
        <f t="shared" si="13"/>
        <v>0</v>
      </c>
      <c r="K188" s="103"/>
      <c r="L188" s="103"/>
      <c r="M188" s="103"/>
      <c r="N188" s="103"/>
      <c r="O188" s="65"/>
      <c r="P188" s="65"/>
    </row>
    <row r="189" spans="1:16" s="56" customFormat="1" x14ac:dyDescent="0.2">
      <c r="A189" s="24"/>
      <c r="B189" s="21" t="s">
        <v>65</v>
      </c>
      <c r="C189" s="57">
        <v>41457</v>
      </c>
      <c r="D189" s="57">
        <v>43140</v>
      </c>
      <c r="E189" s="20" t="s">
        <v>68</v>
      </c>
      <c r="F189" s="18" t="s">
        <v>19</v>
      </c>
      <c r="G189" s="18"/>
      <c r="H189" s="33">
        <v>1500</v>
      </c>
      <c r="I189" s="33">
        <f t="shared" si="12"/>
        <v>1500</v>
      </c>
      <c r="J189" s="32">
        <f>+H189-I189</f>
        <v>0</v>
      </c>
      <c r="K189" s="103"/>
      <c r="L189" s="103"/>
      <c r="M189" s="103"/>
      <c r="N189" s="103"/>
      <c r="O189" s="65"/>
      <c r="P189" s="65"/>
    </row>
    <row r="190" spans="1:16" s="56" customFormat="1" x14ac:dyDescent="0.2">
      <c r="A190" s="24"/>
      <c r="B190" s="21" t="s">
        <v>65</v>
      </c>
      <c r="C190" s="57">
        <v>41458</v>
      </c>
      <c r="D190" s="57">
        <v>43140</v>
      </c>
      <c r="E190" s="20" t="s">
        <v>68</v>
      </c>
      <c r="F190" s="18" t="s">
        <v>19</v>
      </c>
      <c r="G190" s="18"/>
      <c r="H190" s="33">
        <v>1000</v>
      </c>
      <c r="I190" s="33">
        <f t="shared" si="12"/>
        <v>1000</v>
      </c>
      <c r="J190" s="32">
        <f>+H190-I190</f>
        <v>0</v>
      </c>
      <c r="K190" s="103"/>
      <c r="L190" s="103"/>
      <c r="M190" s="103"/>
      <c r="N190" s="103"/>
      <c r="O190" s="65"/>
      <c r="P190" s="65"/>
    </row>
    <row r="191" spans="1:16" s="56" customFormat="1" x14ac:dyDescent="0.2">
      <c r="A191" s="24"/>
      <c r="B191" s="21" t="s">
        <v>65</v>
      </c>
      <c r="C191" s="57">
        <v>41492</v>
      </c>
      <c r="D191" s="57">
        <v>43140</v>
      </c>
      <c r="E191" s="20" t="s">
        <v>68</v>
      </c>
      <c r="F191" s="18" t="s">
        <v>19</v>
      </c>
      <c r="G191" s="18"/>
      <c r="H191" s="33">
        <v>750</v>
      </c>
      <c r="I191" s="33">
        <f t="shared" si="12"/>
        <v>750</v>
      </c>
      <c r="J191" s="32">
        <f>+H191-I191</f>
        <v>0</v>
      </c>
      <c r="K191" s="103"/>
      <c r="L191" s="103"/>
      <c r="M191" s="103"/>
      <c r="N191" s="103"/>
      <c r="O191" s="65"/>
      <c r="P191" s="65"/>
    </row>
    <row r="192" spans="1:16" s="56" customFormat="1" x14ac:dyDescent="0.2">
      <c r="A192" s="24"/>
      <c r="B192" s="21" t="s">
        <v>65</v>
      </c>
      <c r="C192" s="57">
        <v>41493</v>
      </c>
      <c r="D192" s="57">
        <v>43140</v>
      </c>
      <c r="E192" s="20" t="s">
        <v>68</v>
      </c>
      <c r="F192" s="18" t="s">
        <v>19</v>
      </c>
      <c r="G192" s="18"/>
      <c r="H192" s="33">
        <v>1070.5</v>
      </c>
      <c r="I192" s="33">
        <f t="shared" si="12"/>
        <v>1070.5</v>
      </c>
      <c r="J192" s="32">
        <f>+H192-I192</f>
        <v>0</v>
      </c>
      <c r="K192" s="103"/>
      <c r="L192" s="103"/>
      <c r="M192" s="103"/>
      <c r="N192" s="103"/>
      <c r="O192" s="65"/>
      <c r="P192" s="65"/>
    </row>
    <row r="193" spans="1:16" s="56" customFormat="1" x14ac:dyDescent="0.2">
      <c r="A193" s="24"/>
      <c r="B193" s="21" t="s">
        <v>66</v>
      </c>
      <c r="C193" s="57">
        <v>41338</v>
      </c>
      <c r="D193" s="57">
        <v>44967</v>
      </c>
      <c r="E193" s="20" t="s">
        <v>69</v>
      </c>
      <c r="F193" s="18" t="s">
        <v>19</v>
      </c>
      <c r="G193" s="18"/>
      <c r="H193" s="33">
        <v>995</v>
      </c>
      <c r="I193" s="33">
        <f>IF($J$180&gt;=D193,H193,995)</f>
        <v>995</v>
      </c>
      <c r="J193" s="32">
        <f>+H193-I193</f>
        <v>0</v>
      </c>
      <c r="K193" s="103"/>
      <c r="L193" s="103"/>
      <c r="M193" s="103"/>
      <c r="N193" s="103"/>
      <c r="O193" s="65"/>
      <c r="P193" s="65"/>
    </row>
    <row r="194" spans="1:16" s="65" customFormat="1" x14ac:dyDescent="0.2">
      <c r="A194" s="24"/>
      <c r="B194" s="21" t="s">
        <v>66</v>
      </c>
      <c r="C194" s="57">
        <v>41339</v>
      </c>
      <c r="D194" s="57">
        <v>44967</v>
      </c>
      <c r="E194" s="20" t="s">
        <v>69</v>
      </c>
      <c r="F194" s="18" t="s">
        <v>19</v>
      </c>
      <c r="G194" s="18"/>
      <c r="H194" s="33">
        <v>1960</v>
      </c>
      <c r="I194" s="33">
        <f>IF($J$180&gt;=D194,H194,1185.3)</f>
        <v>1960</v>
      </c>
      <c r="J194" s="32">
        <f t="shared" si="13"/>
        <v>0</v>
      </c>
      <c r="K194" s="103"/>
      <c r="L194" s="103"/>
      <c r="M194" s="103"/>
      <c r="N194" s="103"/>
    </row>
    <row r="195" spans="1:16" s="56" customFormat="1" x14ac:dyDescent="0.2">
      <c r="A195" s="24"/>
      <c r="B195" s="21" t="s">
        <v>66</v>
      </c>
      <c r="C195" s="57">
        <v>41366</v>
      </c>
      <c r="D195" s="57">
        <v>44967</v>
      </c>
      <c r="E195" s="20" t="s">
        <v>69</v>
      </c>
      <c r="F195" s="18" t="s">
        <v>19</v>
      </c>
      <c r="G195" s="18"/>
      <c r="H195" s="33">
        <v>1200</v>
      </c>
      <c r="I195" s="33">
        <f>IF($J$180&gt;=D195,H195,1200)</f>
        <v>1200</v>
      </c>
      <c r="J195" s="32">
        <f t="shared" si="13"/>
        <v>0</v>
      </c>
      <c r="K195" s="103"/>
      <c r="L195" s="103"/>
      <c r="M195" s="103"/>
      <c r="N195" s="103"/>
      <c r="O195" s="65"/>
      <c r="P195" s="65"/>
    </row>
    <row r="196" spans="1:16" s="65" customFormat="1" x14ac:dyDescent="0.2">
      <c r="A196" s="24"/>
      <c r="B196" s="21" t="s">
        <v>66</v>
      </c>
      <c r="C196" s="57">
        <v>41401</v>
      </c>
      <c r="D196" s="57">
        <v>44967</v>
      </c>
      <c r="E196" s="20" t="s">
        <v>69</v>
      </c>
      <c r="F196" s="18" t="s">
        <v>19</v>
      </c>
      <c r="G196" s="18"/>
      <c r="H196" s="33">
        <v>3500</v>
      </c>
      <c r="I196" s="33">
        <f>IF($J$180&gt;=D196,H196,1185.3)</f>
        <v>3500</v>
      </c>
      <c r="J196" s="32">
        <f t="shared" si="13"/>
        <v>0</v>
      </c>
      <c r="K196" s="103"/>
      <c r="L196" s="103"/>
      <c r="M196" s="103"/>
      <c r="N196" s="103"/>
    </row>
    <row r="197" spans="1:16" s="56" customFormat="1" x14ac:dyDescent="0.2">
      <c r="A197" s="24"/>
      <c r="B197" s="21" t="s">
        <v>66</v>
      </c>
      <c r="C197" s="57">
        <v>41429</v>
      </c>
      <c r="D197" s="57">
        <v>44967</v>
      </c>
      <c r="E197" s="20" t="s">
        <v>69</v>
      </c>
      <c r="F197" s="18" t="s">
        <v>19</v>
      </c>
      <c r="G197" s="18"/>
      <c r="H197" s="33">
        <v>500</v>
      </c>
      <c r="I197" s="33">
        <f>IF($J$180&gt;=D197,H197,500)</f>
        <v>500</v>
      </c>
      <c r="J197" s="32">
        <f t="shared" si="13"/>
        <v>0</v>
      </c>
      <c r="K197" s="103"/>
      <c r="L197" s="103"/>
      <c r="M197" s="103"/>
      <c r="N197" s="103"/>
      <c r="O197" s="65"/>
      <c r="P197" s="65"/>
    </row>
    <row r="198" spans="1:16" s="65" customFormat="1" x14ac:dyDescent="0.2">
      <c r="A198" s="24"/>
      <c r="B198" s="21" t="s">
        <v>66</v>
      </c>
      <c r="C198" s="57">
        <v>41430</v>
      </c>
      <c r="D198" s="57">
        <v>44967</v>
      </c>
      <c r="E198" s="20" t="s">
        <v>69</v>
      </c>
      <c r="F198" s="18" t="s">
        <v>19</v>
      </c>
      <c r="G198" s="18"/>
      <c r="H198" s="33">
        <v>500</v>
      </c>
      <c r="I198" s="33">
        <f>IF($J$180&gt;=D198,H198,500)</f>
        <v>500</v>
      </c>
      <c r="J198" s="32">
        <f t="shared" si="13"/>
        <v>0</v>
      </c>
      <c r="K198" s="103"/>
      <c r="L198" s="103"/>
      <c r="M198" s="103"/>
      <c r="N198" s="103"/>
    </row>
    <row r="199" spans="1:16" s="65" customFormat="1" x14ac:dyDescent="0.2">
      <c r="A199" s="24"/>
      <c r="B199" s="21" t="s">
        <v>66</v>
      </c>
      <c r="C199" s="57">
        <v>41457</v>
      </c>
      <c r="D199" s="57">
        <v>44967</v>
      </c>
      <c r="E199" s="20" t="s">
        <v>69</v>
      </c>
      <c r="F199" s="18" t="s">
        <v>19</v>
      </c>
      <c r="G199" s="18"/>
      <c r="H199" s="33">
        <v>101</v>
      </c>
      <c r="I199" s="33">
        <f>IF($J$180&gt;=D199,H199,101)</f>
        <v>101</v>
      </c>
      <c r="J199" s="32">
        <f t="shared" ref="J199:J205" si="14">+H199-I199</f>
        <v>0</v>
      </c>
      <c r="K199" s="103"/>
      <c r="L199" s="103"/>
      <c r="M199" s="103"/>
      <c r="N199" s="103"/>
    </row>
    <row r="200" spans="1:16" s="56" customFormat="1" x14ac:dyDescent="0.2">
      <c r="A200" s="24"/>
      <c r="B200" s="21" t="s">
        <v>66</v>
      </c>
      <c r="C200" s="57">
        <v>41492</v>
      </c>
      <c r="D200" s="57">
        <v>44967</v>
      </c>
      <c r="E200" s="20" t="s">
        <v>69</v>
      </c>
      <c r="F200" s="18" t="s">
        <v>19</v>
      </c>
      <c r="G200" s="18"/>
      <c r="H200" s="33">
        <v>5</v>
      </c>
      <c r="I200" s="33">
        <f>IF($J$180&gt;=D200,H200,5)</f>
        <v>5</v>
      </c>
      <c r="J200" s="32">
        <f t="shared" si="14"/>
        <v>0</v>
      </c>
      <c r="K200" s="103"/>
      <c r="L200" s="103"/>
      <c r="M200" s="103"/>
      <c r="N200" s="103"/>
      <c r="O200" s="65"/>
      <c r="P200" s="65"/>
    </row>
    <row r="201" spans="1:16" s="65" customFormat="1" x14ac:dyDescent="0.2">
      <c r="A201" s="24"/>
      <c r="B201" s="21" t="s">
        <v>66</v>
      </c>
      <c r="C201" s="57">
        <v>41520</v>
      </c>
      <c r="D201" s="57">
        <v>44967</v>
      </c>
      <c r="E201" s="20" t="s">
        <v>69</v>
      </c>
      <c r="F201" s="18" t="s">
        <v>19</v>
      </c>
      <c r="G201" s="18"/>
      <c r="H201" s="33">
        <v>121</v>
      </c>
      <c r="I201" s="33">
        <f>IF($J$180&gt;=D201,H201,121)</f>
        <v>121</v>
      </c>
      <c r="J201" s="32">
        <f t="shared" si="14"/>
        <v>0</v>
      </c>
      <c r="K201" s="103"/>
      <c r="L201" s="103"/>
      <c r="M201" s="103"/>
      <c r="N201" s="103"/>
    </row>
    <row r="202" spans="1:16" s="65" customFormat="1" x14ac:dyDescent="0.2">
      <c r="A202" s="24"/>
      <c r="B202" s="8" t="s">
        <v>66</v>
      </c>
      <c r="C202" s="57">
        <v>41548</v>
      </c>
      <c r="D202" s="57">
        <v>44967</v>
      </c>
      <c r="E202" s="7" t="s">
        <v>69</v>
      </c>
      <c r="F202" s="38" t="s">
        <v>19</v>
      </c>
      <c r="G202" s="38"/>
      <c r="H202" s="39">
        <v>200</v>
      </c>
      <c r="I202" s="33">
        <f>IF($J$180&gt;=D202,H202,200)</f>
        <v>200</v>
      </c>
      <c r="J202" s="40">
        <f t="shared" si="14"/>
        <v>0</v>
      </c>
      <c r="K202" s="103"/>
      <c r="L202" s="103"/>
      <c r="M202" s="103"/>
      <c r="N202" s="103"/>
    </row>
    <row r="203" spans="1:16" s="65" customFormat="1" x14ac:dyDescent="0.2">
      <c r="A203" s="24"/>
      <c r="B203" s="8" t="s">
        <v>66</v>
      </c>
      <c r="C203" s="57">
        <v>41549</v>
      </c>
      <c r="D203" s="57">
        <v>44967</v>
      </c>
      <c r="E203" s="7" t="s">
        <v>69</v>
      </c>
      <c r="F203" s="38" t="s">
        <v>19</v>
      </c>
      <c r="G203" s="38"/>
      <c r="H203" s="39">
        <v>266</v>
      </c>
      <c r="I203" s="33">
        <f>IF($J$180&gt;=D203,H203,266)</f>
        <v>266</v>
      </c>
      <c r="J203" s="40">
        <f t="shared" si="14"/>
        <v>0</v>
      </c>
      <c r="K203" s="103"/>
      <c r="L203" s="103"/>
      <c r="M203" s="103"/>
      <c r="N203" s="103"/>
    </row>
    <row r="204" spans="1:16" s="65" customFormat="1" x14ac:dyDescent="0.2">
      <c r="A204" s="24"/>
      <c r="B204" s="8" t="s">
        <v>66</v>
      </c>
      <c r="C204" s="57">
        <v>41583</v>
      </c>
      <c r="D204" s="57">
        <v>44967</v>
      </c>
      <c r="E204" s="7" t="s">
        <v>69</v>
      </c>
      <c r="F204" s="38" t="s">
        <v>19</v>
      </c>
      <c r="G204" s="38"/>
      <c r="H204" s="39">
        <v>200</v>
      </c>
      <c r="I204" s="33">
        <f>IF($J$180&gt;=D204,H204,200)</f>
        <v>200</v>
      </c>
      <c r="J204" s="40">
        <f t="shared" si="14"/>
        <v>0</v>
      </c>
      <c r="K204" s="103"/>
      <c r="L204" s="103"/>
      <c r="M204" s="103"/>
      <c r="N204" s="103"/>
    </row>
    <row r="205" spans="1:16" s="65" customFormat="1" x14ac:dyDescent="0.2">
      <c r="A205" s="24"/>
      <c r="B205" s="8" t="s">
        <v>66</v>
      </c>
      <c r="C205" s="57">
        <v>41611</v>
      </c>
      <c r="D205" s="57">
        <v>44967</v>
      </c>
      <c r="E205" s="7" t="s">
        <v>69</v>
      </c>
      <c r="F205" s="38" t="s">
        <v>19</v>
      </c>
      <c r="G205" s="38"/>
      <c r="H205" s="39">
        <v>100</v>
      </c>
      <c r="I205" s="33">
        <f>IF($J$180&gt;=D205,H205,100)</f>
        <v>100</v>
      </c>
      <c r="J205" s="40">
        <f t="shared" si="14"/>
        <v>0</v>
      </c>
      <c r="K205" s="103"/>
      <c r="L205" s="103"/>
      <c r="M205" s="103"/>
      <c r="N205" s="103"/>
    </row>
    <row r="206" spans="1:16" s="65" customFormat="1" x14ac:dyDescent="0.2">
      <c r="A206" s="24"/>
      <c r="B206" s="21" t="s">
        <v>67</v>
      </c>
      <c r="C206" s="57">
        <v>41338</v>
      </c>
      <c r="D206" s="57">
        <v>46787</v>
      </c>
      <c r="E206" s="20" t="s">
        <v>70</v>
      </c>
      <c r="F206" s="18" t="s">
        <v>19</v>
      </c>
      <c r="G206" s="18"/>
      <c r="H206" s="33">
        <v>3000</v>
      </c>
      <c r="I206" s="33">
        <f t="shared" si="12"/>
        <v>0</v>
      </c>
      <c r="J206" s="32">
        <f t="shared" si="13"/>
        <v>3000</v>
      </c>
      <c r="K206" s="103"/>
      <c r="L206" s="103"/>
      <c r="M206" s="103"/>
      <c r="N206" s="103"/>
    </row>
    <row r="207" spans="1:16" s="65" customFormat="1" x14ac:dyDescent="0.2">
      <c r="A207" s="24"/>
      <c r="B207" s="21" t="s">
        <v>67</v>
      </c>
      <c r="C207" s="57">
        <v>41339</v>
      </c>
      <c r="D207" s="57">
        <v>46787</v>
      </c>
      <c r="E207" s="20" t="s">
        <v>70</v>
      </c>
      <c r="F207" s="18" t="s">
        <v>19</v>
      </c>
      <c r="G207" s="18"/>
      <c r="H207" s="33">
        <v>2500</v>
      </c>
      <c r="I207" s="33">
        <f t="shared" si="12"/>
        <v>0</v>
      </c>
      <c r="J207" s="32">
        <f t="shared" si="13"/>
        <v>2500</v>
      </c>
      <c r="K207" s="103"/>
      <c r="L207" s="103"/>
      <c r="M207" s="103"/>
      <c r="N207" s="103"/>
    </row>
    <row r="208" spans="1:16" x14ac:dyDescent="0.2">
      <c r="B208" s="21" t="s">
        <v>67</v>
      </c>
      <c r="C208" s="57">
        <v>41366</v>
      </c>
      <c r="D208" s="57">
        <v>46787</v>
      </c>
      <c r="E208" s="20" t="s">
        <v>70</v>
      </c>
      <c r="F208" s="18" t="s">
        <v>19</v>
      </c>
      <c r="G208" s="18"/>
      <c r="H208" s="33">
        <v>2500</v>
      </c>
      <c r="I208" s="33">
        <f t="shared" si="12"/>
        <v>0</v>
      </c>
      <c r="J208" s="32">
        <f t="shared" si="13"/>
        <v>2500</v>
      </c>
    </row>
    <row r="209" spans="1:16" x14ac:dyDescent="0.2">
      <c r="B209" s="21" t="s">
        <v>67</v>
      </c>
      <c r="C209" s="57">
        <v>41401</v>
      </c>
      <c r="D209" s="57">
        <v>46787</v>
      </c>
      <c r="E209" s="20" t="s">
        <v>70</v>
      </c>
      <c r="F209" s="18" t="s">
        <v>19</v>
      </c>
      <c r="G209" s="18"/>
      <c r="H209" s="33">
        <v>1000</v>
      </c>
      <c r="I209" s="33">
        <f t="shared" si="12"/>
        <v>0</v>
      </c>
      <c r="J209" s="32">
        <f t="shared" si="13"/>
        <v>1000</v>
      </c>
    </row>
    <row r="210" spans="1:16" x14ac:dyDescent="0.2">
      <c r="B210" s="21" t="s">
        <v>71</v>
      </c>
      <c r="C210" s="57">
        <v>41429</v>
      </c>
      <c r="D210" s="57">
        <v>46878</v>
      </c>
      <c r="E210" s="20" t="s">
        <v>72</v>
      </c>
      <c r="F210" s="18" t="s">
        <v>19</v>
      </c>
      <c r="G210" s="18"/>
      <c r="H210" s="33">
        <v>500</v>
      </c>
      <c r="I210" s="33">
        <f t="shared" si="12"/>
        <v>0</v>
      </c>
      <c r="J210" s="32">
        <f t="shared" si="13"/>
        <v>500</v>
      </c>
    </row>
    <row r="211" spans="1:16" x14ac:dyDescent="0.2">
      <c r="B211" s="21" t="s">
        <v>71</v>
      </c>
      <c r="C211" s="57">
        <v>41430</v>
      </c>
      <c r="D211" s="57">
        <v>46878</v>
      </c>
      <c r="E211" s="20" t="s">
        <v>72</v>
      </c>
      <c r="F211" s="18" t="s">
        <v>19</v>
      </c>
      <c r="G211" s="18"/>
      <c r="H211" s="33">
        <v>500</v>
      </c>
      <c r="I211" s="33">
        <f t="shared" si="12"/>
        <v>0</v>
      </c>
      <c r="J211" s="32">
        <f t="shared" si="13"/>
        <v>500</v>
      </c>
    </row>
    <row r="212" spans="1:16" ht="13.5" thickBot="1" x14ac:dyDescent="0.25">
      <c r="B212" s="59"/>
      <c r="C212" s="59"/>
      <c r="D212" s="59"/>
      <c r="E212" s="59"/>
      <c r="F212" s="59"/>
      <c r="G212" s="59"/>
      <c r="H212" s="59"/>
      <c r="I212" s="59"/>
      <c r="J212" s="59"/>
    </row>
    <row r="213" spans="1:16" x14ac:dyDescent="0.2">
      <c r="B213" s="69"/>
      <c r="C213" s="69"/>
      <c r="D213" s="69"/>
      <c r="E213" s="69"/>
      <c r="F213" s="69"/>
      <c r="G213" s="69"/>
      <c r="H213" s="69"/>
      <c r="I213" s="69"/>
      <c r="J213" s="69"/>
    </row>
    <row r="214" spans="1:16" x14ac:dyDescent="0.2">
      <c r="B214" s="69"/>
      <c r="C214" s="69"/>
      <c r="D214" s="69"/>
      <c r="E214" s="69"/>
      <c r="F214" s="69"/>
      <c r="G214" s="69"/>
      <c r="H214" s="69"/>
      <c r="I214" s="69"/>
      <c r="J214" s="69"/>
    </row>
    <row r="215" spans="1:16" ht="15" x14ac:dyDescent="0.25">
      <c r="B215" s="93" t="s">
        <v>73</v>
      </c>
      <c r="C215" s="93"/>
      <c r="D215" s="93"/>
      <c r="E215" s="93"/>
      <c r="F215" s="93"/>
      <c r="G215" s="93"/>
      <c r="H215" s="93"/>
      <c r="I215" s="93"/>
      <c r="J215" s="93"/>
    </row>
    <row r="216" spans="1:16" x14ac:dyDescent="0.2">
      <c r="B216" s="73"/>
      <c r="C216" s="73"/>
      <c r="D216" s="73"/>
      <c r="J216" s="74"/>
    </row>
    <row r="217" spans="1:16" s="62" customFormat="1" x14ac:dyDescent="0.2">
      <c r="A217" s="23"/>
      <c r="B217" s="94" t="s">
        <v>4</v>
      </c>
      <c r="C217" s="94"/>
      <c r="D217" s="94"/>
      <c r="E217" s="94"/>
      <c r="F217" s="94"/>
      <c r="G217" s="94"/>
      <c r="H217" s="94"/>
      <c r="I217" s="94"/>
      <c r="J217" s="94"/>
      <c r="K217" s="100"/>
      <c r="L217" s="100"/>
      <c r="M217" s="100"/>
      <c r="N217" s="100"/>
      <c r="O217" s="49"/>
      <c r="P217" s="49"/>
    </row>
    <row r="218" spans="1:16" ht="25.5" x14ac:dyDescent="0.2">
      <c r="B218" s="95" t="s">
        <v>0</v>
      </c>
      <c r="C218" s="95" t="s">
        <v>31</v>
      </c>
      <c r="D218" s="95" t="s">
        <v>1</v>
      </c>
      <c r="E218" s="95" t="s">
        <v>8</v>
      </c>
      <c r="F218" s="95" t="s">
        <v>18</v>
      </c>
      <c r="G218" s="95" t="s">
        <v>14</v>
      </c>
      <c r="H218" s="95" t="s">
        <v>6</v>
      </c>
      <c r="I218" s="95" t="s">
        <v>2</v>
      </c>
      <c r="J218" s="84" t="s">
        <v>3</v>
      </c>
    </row>
    <row r="219" spans="1:16" x14ac:dyDescent="0.2">
      <c r="B219" s="96"/>
      <c r="C219" s="96"/>
      <c r="D219" s="96"/>
      <c r="E219" s="96"/>
      <c r="F219" s="96"/>
      <c r="G219" s="96"/>
      <c r="H219" s="96"/>
      <c r="I219" s="96"/>
      <c r="J219" s="85">
        <f>+J180</f>
        <v>45716</v>
      </c>
    </row>
    <row r="220" spans="1:16" x14ac:dyDescent="0.2">
      <c r="B220" s="2"/>
      <c r="C220" s="2"/>
      <c r="D220" s="2"/>
      <c r="E220" s="2"/>
      <c r="F220" s="2"/>
      <c r="G220" s="76"/>
      <c r="H220" s="2"/>
      <c r="I220" s="2"/>
      <c r="J220" s="10"/>
    </row>
    <row r="221" spans="1:16" ht="15.75" thickBot="1" x14ac:dyDescent="0.3">
      <c r="A221" s="23" t="s">
        <v>153</v>
      </c>
      <c r="B221" s="2"/>
      <c r="C221" s="2"/>
      <c r="D221" s="2"/>
      <c r="E221" s="14" t="s">
        <v>22</v>
      </c>
      <c r="F221" s="5"/>
      <c r="G221" s="15">
        <v>33614.400000000001</v>
      </c>
      <c r="H221" s="15">
        <f>SUM(H222:H229)</f>
        <v>33614</v>
      </c>
      <c r="I221" s="15">
        <f>SUM(I222:I229)</f>
        <v>23614</v>
      </c>
      <c r="J221" s="15">
        <f>SUM(J222:J229)</f>
        <v>10000</v>
      </c>
    </row>
    <row r="222" spans="1:16" ht="13.5" thickTop="1" x14ac:dyDescent="0.2">
      <c r="B222" s="21" t="s">
        <v>78</v>
      </c>
      <c r="C222" s="57">
        <v>41821</v>
      </c>
      <c r="D222" s="57">
        <v>43595</v>
      </c>
      <c r="E222" s="20" t="s">
        <v>74</v>
      </c>
      <c r="F222" s="18" t="s">
        <v>19</v>
      </c>
      <c r="G222" s="18"/>
      <c r="H222" s="33">
        <v>3500</v>
      </c>
      <c r="I222" s="33">
        <f>IF($J$219&gt;=D222,H222,0)</f>
        <v>3500</v>
      </c>
      <c r="J222" s="22">
        <f>H222-I222</f>
        <v>0</v>
      </c>
    </row>
    <row r="223" spans="1:16" x14ac:dyDescent="0.2">
      <c r="B223" s="21" t="s">
        <v>78</v>
      </c>
      <c r="C223" s="57">
        <v>41822</v>
      </c>
      <c r="D223" s="57">
        <v>43595</v>
      </c>
      <c r="E223" s="20" t="s">
        <v>74</v>
      </c>
      <c r="F223" s="18" t="s">
        <v>19</v>
      </c>
      <c r="G223" s="18"/>
      <c r="H223" s="33">
        <v>6500</v>
      </c>
      <c r="I223" s="33">
        <f t="shared" ref="I223:I229" si="15">IF($J$219&gt;=D223,H223,0)</f>
        <v>6500</v>
      </c>
      <c r="J223" s="32">
        <f t="shared" ref="J223:J229" si="16">+H223-I223</f>
        <v>0</v>
      </c>
    </row>
    <row r="224" spans="1:16" x14ac:dyDescent="0.2">
      <c r="B224" s="8" t="s">
        <v>79</v>
      </c>
      <c r="C224" s="57">
        <v>41821</v>
      </c>
      <c r="D224" s="57">
        <v>45422</v>
      </c>
      <c r="E224" s="20" t="s">
        <v>75</v>
      </c>
      <c r="F224" s="18" t="s">
        <v>19</v>
      </c>
      <c r="G224" s="18"/>
      <c r="H224" s="33">
        <v>5000</v>
      </c>
      <c r="I224" s="33">
        <f>IF($J$219&gt;=D224,H224,(5729/6))</f>
        <v>5000</v>
      </c>
      <c r="J224" s="32">
        <f t="shared" si="16"/>
        <v>0</v>
      </c>
    </row>
    <row r="225" spans="1:10" x14ac:dyDescent="0.2">
      <c r="B225" s="8" t="s">
        <v>79</v>
      </c>
      <c r="C225" s="57">
        <v>41822</v>
      </c>
      <c r="D225" s="57">
        <v>45422</v>
      </c>
      <c r="E225" s="20" t="s">
        <v>75</v>
      </c>
      <c r="F225" s="18" t="s">
        <v>19</v>
      </c>
      <c r="G225" s="18"/>
      <c r="H225" s="33">
        <v>5000</v>
      </c>
      <c r="I225" s="33">
        <f>IF($J$219&gt;=D225,H225,(5729/6))</f>
        <v>5000</v>
      </c>
      <c r="J225" s="32">
        <f t="shared" si="16"/>
        <v>0</v>
      </c>
    </row>
    <row r="226" spans="1:10" x14ac:dyDescent="0.2">
      <c r="B226" s="8" t="s">
        <v>79</v>
      </c>
      <c r="C226" s="57">
        <v>41884</v>
      </c>
      <c r="D226" s="57">
        <v>45422</v>
      </c>
      <c r="E226" s="20" t="s">
        <v>75</v>
      </c>
      <c r="F226" s="18" t="s">
        <v>19</v>
      </c>
      <c r="G226" s="18"/>
      <c r="H226" s="33">
        <v>1500</v>
      </c>
      <c r="I226" s="33">
        <f>IF($J$219&gt;=D226,H226,(5729/6))</f>
        <v>1500</v>
      </c>
      <c r="J226" s="32">
        <f t="shared" si="16"/>
        <v>0</v>
      </c>
    </row>
    <row r="227" spans="1:10" x14ac:dyDescent="0.2">
      <c r="B227" s="8" t="s">
        <v>79</v>
      </c>
      <c r="C227" s="57">
        <v>41885</v>
      </c>
      <c r="D227" s="57">
        <v>45422</v>
      </c>
      <c r="E227" s="20" t="s">
        <v>75</v>
      </c>
      <c r="F227" s="18" t="s">
        <v>19</v>
      </c>
      <c r="G227" s="18"/>
      <c r="H227" s="33">
        <v>2114</v>
      </c>
      <c r="I227" s="33">
        <f>IF($J$219&gt;=D227,H227,(5729/6))</f>
        <v>2114</v>
      </c>
      <c r="J227" s="32">
        <f t="shared" si="16"/>
        <v>0</v>
      </c>
    </row>
    <row r="228" spans="1:10" x14ac:dyDescent="0.2">
      <c r="B228" s="21" t="s">
        <v>77</v>
      </c>
      <c r="C228" s="57">
        <v>41856</v>
      </c>
      <c r="D228" s="57">
        <v>47305</v>
      </c>
      <c r="E228" s="20" t="s">
        <v>76</v>
      </c>
      <c r="F228" s="18" t="s">
        <v>19</v>
      </c>
      <c r="G228" s="18"/>
      <c r="H228" s="33">
        <v>3500</v>
      </c>
      <c r="I228" s="33">
        <f t="shared" si="15"/>
        <v>0</v>
      </c>
      <c r="J228" s="32">
        <f t="shared" si="16"/>
        <v>3500</v>
      </c>
    </row>
    <row r="229" spans="1:10" x14ac:dyDescent="0.2">
      <c r="B229" s="21" t="s">
        <v>77</v>
      </c>
      <c r="C229" s="57">
        <v>41857</v>
      </c>
      <c r="D229" s="57">
        <v>47305</v>
      </c>
      <c r="E229" s="20" t="s">
        <v>76</v>
      </c>
      <c r="F229" s="18" t="s">
        <v>19</v>
      </c>
      <c r="G229" s="18"/>
      <c r="H229" s="33">
        <v>6500</v>
      </c>
      <c r="I229" s="33">
        <f t="shared" si="15"/>
        <v>0</v>
      </c>
      <c r="J229" s="32">
        <f t="shared" si="16"/>
        <v>6500</v>
      </c>
    </row>
    <row r="230" spans="1:10" ht="13.5" thickBot="1" x14ac:dyDescent="0.25">
      <c r="B230" s="59"/>
      <c r="C230" s="59"/>
      <c r="D230" s="59"/>
      <c r="E230" s="59"/>
      <c r="F230" s="59"/>
      <c r="G230" s="59"/>
      <c r="H230" s="59"/>
      <c r="I230" s="59"/>
      <c r="J230" s="59"/>
    </row>
    <row r="231" spans="1:10" x14ac:dyDescent="0.2">
      <c r="B231" s="21"/>
      <c r="C231" s="77"/>
      <c r="D231" s="78"/>
      <c r="E231" s="20"/>
      <c r="F231" s="18"/>
      <c r="G231" s="18"/>
      <c r="H231" s="33"/>
      <c r="I231" s="33"/>
      <c r="J231" s="32"/>
    </row>
    <row r="232" spans="1:10" x14ac:dyDescent="0.2">
      <c r="B232" s="21"/>
      <c r="C232" s="77"/>
      <c r="D232" s="78"/>
      <c r="E232" s="20"/>
      <c r="F232" s="18"/>
      <c r="G232" s="18"/>
      <c r="H232" s="33"/>
      <c r="I232" s="33"/>
      <c r="J232" s="32"/>
    </row>
    <row r="233" spans="1:10" ht="15" x14ac:dyDescent="0.25">
      <c r="B233" s="93" t="s">
        <v>82</v>
      </c>
      <c r="C233" s="93"/>
      <c r="D233" s="93"/>
      <c r="E233" s="93"/>
      <c r="F233" s="93"/>
      <c r="G233" s="93"/>
      <c r="H233" s="93"/>
      <c r="I233" s="93"/>
      <c r="J233" s="93"/>
    </row>
    <row r="234" spans="1:10" x14ac:dyDescent="0.2">
      <c r="B234" s="73"/>
      <c r="C234" s="73"/>
      <c r="D234" s="73"/>
      <c r="J234" s="74"/>
    </row>
    <row r="235" spans="1:10" x14ac:dyDescent="0.2">
      <c r="B235" s="94" t="s">
        <v>4</v>
      </c>
      <c r="C235" s="94"/>
      <c r="D235" s="94"/>
      <c r="E235" s="94"/>
      <c r="F235" s="94"/>
      <c r="G235" s="94"/>
      <c r="H235" s="94"/>
      <c r="I235" s="94"/>
      <c r="J235" s="94"/>
    </row>
    <row r="236" spans="1:10" ht="25.5" x14ac:dyDescent="0.2">
      <c r="B236" s="95" t="s">
        <v>0</v>
      </c>
      <c r="C236" s="95" t="s">
        <v>31</v>
      </c>
      <c r="D236" s="95" t="s">
        <v>1</v>
      </c>
      <c r="E236" s="95" t="s">
        <v>8</v>
      </c>
      <c r="F236" s="95" t="s">
        <v>18</v>
      </c>
      <c r="G236" s="95" t="s">
        <v>14</v>
      </c>
      <c r="H236" s="95" t="s">
        <v>6</v>
      </c>
      <c r="I236" s="95" t="s">
        <v>2</v>
      </c>
      <c r="J236" s="84" t="s">
        <v>3</v>
      </c>
    </row>
    <row r="237" spans="1:10" x14ac:dyDescent="0.2">
      <c r="B237" s="96"/>
      <c r="C237" s="96"/>
      <c r="D237" s="96"/>
      <c r="E237" s="96"/>
      <c r="F237" s="96"/>
      <c r="G237" s="96"/>
      <c r="H237" s="96"/>
      <c r="I237" s="96"/>
      <c r="J237" s="85">
        <f>+J219</f>
        <v>45716</v>
      </c>
    </row>
    <row r="238" spans="1:10" x14ac:dyDescent="0.2">
      <c r="B238" s="2"/>
      <c r="C238" s="2"/>
      <c r="D238" s="2"/>
      <c r="E238" s="2"/>
      <c r="F238" s="2"/>
      <c r="G238" s="76"/>
      <c r="H238" s="2"/>
      <c r="I238" s="2"/>
      <c r="J238" s="10"/>
    </row>
    <row r="239" spans="1:10" ht="15.75" thickBot="1" x14ac:dyDescent="0.3">
      <c r="A239" s="23" t="s">
        <v>153</v>
      </c>
      <c r="B239" s="2"/>
      <c r="C239" s="2"/>
      <c r="D239" s="2"/>
      <c r="E239" s="14" t="s">
        <v>22</v>
      </c>
      <c r="F239" s="5"/>
      <c r="G239" s="15">
        <v>110888.75</v>
      </c>
      <c r="H239" s="15">
        <f>SUM(H240:H250)</f>
        <v>42000</v>
      </c>
      <c r="I239" s="15">
        <f>SUM(I240:I250)</f>
        <v>21763.599999999999</v>
      </c>
      <c r="J239" s="15">
        <f>SUM(J240:J250)</f>
        <v>20236.400000000001</v>
      </c>
    </row>
    <row r="240" spans="1:10" ht="13.5" thickTop="1" x14ac:dyDescent="0.2">
      <c r="B240" s="21" t="s">
        <v>81</v>
      </c>
      <c r="C240" s="57">
        <v>42073</v>
      </c>
      <c r="D240" s="57">
        <v>44624</v>
      </c>
      <c r="E240" s="20" t="s">
        <v>84</v>
      </c>
      <c r="F240" s="18" t="s">
        <v>19</v>
      </c>
      <c r="G240" s="18"/>
      <c r="H240" s="33">
        <v>4000</v>
      </c>
      <c r="I240" s="33">
        <f>IF($J$237&gt;=D240,H240,(7294.5/4))</f>
        <v>4000</v>
      </c>
      <c r="J240" s="22">
        <f>H240-I240</f>
        <v>0</v>
      </c>
    </row>
    <row r="241" spans="2:10" x14ac:dyDescent="0.2">
      <c r="B241" s="21" t="s">
        <v>77</v>
      </c>
      <c r="C241" s="57">
        <v>42073</v>
      </c>
      <c r="D241" s="57">
        <v>47305</v>
      </c>
      <c r="E241" s="20" t="s">
        <v>76</v>
      </c>
      <c r="F241" s="18" t="s">
        <v>19</v>
      </c>
      <c r="G241" s="18"/>
      <c r="H241" s="33">
        <v>2500</v>
      </c>
      <c r="I241" s="33">
        <f t="shared" ref="I241:I250" si="17">IF($J$237&gt;=D241,H241,0)</f>
        <v>0</v>
      </c>
      <c r="J241" s="32">
        <f t="shared" ref="J241:J250" si="18">H241-I241</f>
        <v>2500</v>
      </c>
    </row>
    <row r="242" spans="2:10" x14ac:dyDescent="0.2">
      <c r="B242" s="8" t="s">
        <v>77</v>
      </c>
      <c r="C242" s="57">
        <v>42074</v>
      </c>
      <c r="D242" s="57">
        <v>47305</v>
      </c>
      <c r="E242" s="20" t="s">
        <v>76</v>
      </c>
      <c r="F242" s="18" t="s">
        <v>19</v>
      </c>
      <c r="G242" s="18"/>
      <c r="H242" s="33">
        <v>7500</v>
      </c>
      <c r="I242" s="33">
        <f t="shared" si="17"/>
        <v>0</v>
      </c>
      <c r="J242" s="32">
        <f t="shared" si="18"/>
        <v>7500</v>
      </c>
    </row>
    <row r="243" spans="2:10" x14ac:dyDescent="0.2">
      <c r="B243" s="8" t="s">
        <v>81</v>
      </c>
      <c r="C243" s="57">
        <v>42101</v>
      </c>
      <c r="D243" s="57">
        <v>44624</v>
      </c>
      <c r="E243" s="20" t="s">
        <v>84</v>
      </c>
      <c r="F243" s="18" t="s">
        <v>19</v>
      </c>
      <c r="G243" s="18"/>
      <c r="H243" s="33">
        <v>4000</v>
      </c>
      <c r="I243" s="33">
        <f>IF($J$237&gt;=D243,H243,(7294.5/4))</f>
        <v>4000</v>
      </c>
      <c r="J243" s="32">
        <f t="shared" si="18"/>
        <v>0</v>
      </c>
    </row>
    <row r="244" spans="2:10" x14ac:dyDescent="0.2">
      <c r="B244" s="8" t="s">
        <v>81</v>
      </c>
      <c r="C244" s="57">
        <v>42102</v>
      </c>
      <c r="D244" s="57">
        <v>44624</v>
      </c>
      <c r="E244" s="20" t="s">
        <v>84</v>
      </c>
      <c r="F244" s="18" t="s">
        <v>19</v>
      </c>
      <c r="G244" s="18"/>
      <c r="H244" s="33">
        <v>2000</v>
      </c>
      <c r="I244" s="33">
        <f>IF($J$237&gt;=D244,H244,(7294.5/4))</f>
        <v>2000</v>
      </c>
      <c r="J244" s="32">
        <f t="shared" si="18"/>
        <v>0</v>
      </c>
    </row>
    <row r="245" spans="2:10" x14ac:dyDescent="0.2">
      <c r="B245" s="8" t="s">
        <v>85</v>
      </c>
      <c r="C245" s="57">
        <v>42157</v>
      </c>
      <c r="D245" s="57">
        <v>46087</v>
      </c>
      <c r="E245" s="20" t="s">
        <v>84</v>
      </c>
      <c r="F245" s="18" t="s">
        <v>19</v>
      </c>
      <c r="G245" s="18"/>
      <c r="H245" s="33">
        <v>5000</v>
      </c>
      <c r="I245" s="33">
        <f>IF($J$237&gt;=D245,H245,(4763.6/2))</f>
        <v>2381.8000000000002</v>
      </c>
      <c r="J245" s="32">
        <f t="shared" si="18"/>
        <v>2618.1999999999998</v>
      </c>
    </row>
    <row r="246" spans="2:10" x14ac:dyDescent="0.2">
      <c r="B246" s="8" t="s">
        <v>85</v>
      </c>
      <c r="C246" s="57">
        <v>42158</v>
      </c>
      <c r="D246" s="57">
        <v>46087</v>
      </c>
      <c r="E246" s="20" t="s">
        <v>84</v>
      </c>
      <c r="F246" s="18" t="s">
        <v>19</v>
      </c>
      <c r="G246" s="18"/>
      <c r="H246" s="33">
        <v>7000</v>
      </c>
      <c r="I246" s="33">
        <f>IF($J$237&gt;=D246,H246,(4763.6/2))</f>
        <v>2381.8000000000002</v>
      </c>
      <c r="J246" s="32">
        <f t="shared" si="18"/>
        <v>4618.2</v>
      </c>
    </row>
    <row r="247" spans="2:10" x14ac:dyDescent="0.2">
      <c r="B247" s="8" t="s">
        <v>79</v>
      </c>
      <c r="C247" s="57">
        <v>42192</v>
      </c>
      <c r="D247" s="57">
        <v>45422</v>
      </c>
      <c r="E247" s="20" t="s">
        <v>86</v>
      </c>
      <c r="F247" s="18" t="s">
        <v>19</v>
      </c>
      <c r="G247" s="18"/>
      <c r="H247" s="33">
        <v>3000</v>
      </c>
      <c r="I247" s="33">
        <f>IF($J$237&gt;=D247,H247,(5729/6))</f>
        <v>3000</v>
      </c>
      <c r="J247" s="32">
        <f t="shared" si="18"/>
        <v>0</v>
      </c>
    </row>
    <row r="248" spans="2:10" x14ac:dyDescent="0.2">
      <c r="B248" s="8" t="s">
        <v>79</v>
      </c>
      <c r="C248" s="57">
        <v>42193</v>
      </c>
      <c r="D248" s="57">
        <v>45422</v>
      </c>
      <c r="E248" s="20" t="s">
        <v>86</v>
      </c>
      <c r="F248" s="18" t="s">
        <v>19</v>
      </c>
      <c r="G248" s="18"/>
      <c r="H248" s="33">
        <v>4000</v>
      </c>
      <c r="I248" s="33">
        <f>IF($J$237&gt;=D248,H248,(5729/6))</f>
        <v>4000</v>
      </c>
      <c r="J248" s="32">
        <f t="shared" si="18"/>
        <v>0</v>
      </c>
    </row>
    <row r="249" spans="2:10" x14ac:dyDescent="0.2">
      <c r="B249" s="21" t="s">
        <v>77</v>
      </c>
      <c r="C249" s="57">
        <v>42248</v>
      </c>
      <c r="D249" s="57">
        <v>47305</v>
      </c>
      <c r="E249" s="20" t="s">
        <v>76</v>
      </c>
      <c r="F249" s="18" t="s">
        <v>19</v>
      </c>
      <c r="G249" s="18"/>
      <c r="H249" s="33">
        <v>1000</v>
      </c>
      <c r="I249" s="33">
        <f t="shared" si="17"/>
        <v>0</v>
      </c>
      <c r="J249" s="32">
        <f t="shared" si="18"/>
        <v>1000</v>
      </c>
    </row>
    <row r="250" spans="2:10" x14ac:dyDescent="0.2">
      <c r="B250" s="21" t="s">
        <v>77</v>
      </c>
      <c r="C250" s="57">
        <v>42249</v>
      </c>
      <c r="D250" s="57">
        <v>47305</v>
      </c>
      <c r="E250" s="20" t="s">
        <v>76</v>
      </c>
      <c r="F250" s="18" t="s">
        <v>19</v>
      </c>
      <c r="G250" s="18"/>
      <c r="H250" s="33">
        <v>2000</v>
      </c>
      <c r="I250" s="33">
        <f t="shared" si="17"/>
        <v>0</v>
      </c>
      <c r="J250" s="32">
        <f t="shared" si="18"/>
        <v>2000</v>
      </c>
    </row>
    <row r="251" spans="2:10" ht="13.5" thickBot="1" x14ac:dyDescent="0.25">
      <c r="B251" s="59"/>
      <c r="C251" s="59"/>
      <c r="D251" s="59"/>
      <c r="E251" s="59"/>
      <c r="F251" s="59"/>
      <c r="G251" s="59"/>
      <c r="H251" s="59"/>
      <c r="I251" s="59"/>
      <c r="J251" s="59"/>
    </row>
    <row r="252" spans="2:10" x14ac:dyDescent="0.2">
      <c r="B252" s="21"/>
      <c r="C252" s="77"/>
      <c r="D252" s="78"/>
      <c r="E252" s="20"/>
      <c r="F252" s="18"/>
      <c r="G252" s="18"/>
      <c r="H252" s="33"/>
      <c r="I252" s="33"/>
      <c r="J252" s="32"/>
    </row>
    <row r="253" spans="2:10" x14ac:dyDescent="0.2">
      <c r="B253" s="11" t="s">
        <v>23</v>
      </c>
      <c r="C253" s="12"/>
      <c r="D253" s="12"/>
      <c r="E253" s="12"/>
      <c r="F253" s="12"/>
      <c r="G253" s="13"/>
      <c r="H253" s="12"/>
      <c r="I253" s="12"/>
      <c r="J253" s="12"/>
    </row>
    <row r="254" spans="2:10" ht="13.5" thickBot="1" x14ac:dyDescent="0.25">
      <c r="B254" s="79"/>
      <c r="C254" s="79"/>
      <c r="D254" s="79"/>
      <c r="F254" s="80"/>
    </row>
    <row r="255" spans="2:10" ht="13.5" thickTop="1" x14ac:dyDescent="0.2">
      <c r="F255" s="80"/>
      <c r="G255" s="81"/>
      <c r="J255" s="12"/>
    </row>
    <row r="256" spans="2:10" x14ac:dyDescent="0.2">
      <c r="J256" s="12"/>
    </row>
    <row r="258" spans="1:10" ht="15" x14ac:dyDescent="0.25">
      <c r="B258" s="93" t="s">
        <v>89</v>
      </c>
      <c r="C258" s="93"/>
      <c r="D258" s="93"/>
      <c r="E258" s="93"/>
      <c r="F258" s="93"/>
      <c r="G258" s="93"/>
      <c r="H258" s="93"/>
      <c r="I258" s="93"/>
      <c r="J258" s="93"/>
    </row>
    <row r="259" spans="1:10" ht="13.5" customHeight="1" x14ac:dyDescent="0.2">
      <c r="B259" s="73"/>
      <c r="C259" s="73"/>
      <c r="D259" s="73"/>
      <c r="J259" s="74"/>
    </row>
    <row r="260" spans="1:10" ht="13.5" customHeight="1" x14ac:dyDescent="0.2">
      <c r="B260" s="94" t="s">
        <v>4</v>
      </c>
      <c r="C260" s="94"/>
      <c r="D260" s="94"/>
      <c r="E260" s="94"/>
      <c r="F260" s="94"/>
      <c r="G260" s="94"/>
      <c r="H260" s="94"/>
      <c r="I260" s="94"/>
      <c r="J260" s="94"/>
    </row>
    <row r="261" spans="1:10" ht="25.5" x14ac:dyDescent="0.2">
      <c r="B261" s="95" t="s">
        <v>0</v>
      </c>
      <c r="C261" s="95" t="s">
        <v>31</v>
      </c>
      <c r="D261" s="95" t="s">
        <v>1</v>
      </c>
      <c r="E261" s="95" t="s">
        <v>8</v>
      </c>
      <c r="F261" s="95" t="s">
        <v>18</v>
      </c>
      <c r="G261" s="95" t="s">
        <v>14</v>
      </c>
      <c r="H261" s="95" t="s">
        <v>6</v>
      </c>
      <c r="I261" s="95" t="s">
        <v>2</v>
      </c>
      <c r="J261" s="84" t="s">
        <v>3</v>
      </c>
    </row>
    <row r="262" spans="1:10" ht="15" customHeight="1" x14ac:dyDescent="0.2">
      <c r="B262" s="96"/>
      <c r="C262" s="96"/>
      <c r="D262" s="96"/>
      <c r="E262" s="96"/>
      <c r="F262" s="96"/>
      <c r="G262" s="96"/>
      <c r="H262" s="96"/>
      <c r="I262" s="96"/>
      <c r="J262" s="85">
        <f>+J237</f>
        <v>45716</v>
      </c>
    </row>
    <row r="263" spans="1:10" ht="13.5" customHeight="1" x14ac:dyDescent="0.2">
      <c r="B263" s="2"/>
      <c r="C263" s="2"/>
      <c r="D263" s="2"/>
      <c r="E263" s="2"/>
      <c r="F263" s="2"/>
      <c r="G263" s="76"/>
      <c r="H263" s="2"/>
      <c r="I263" s="2"/>
      <c r="J263" s="10"/>
    </row>
    <row r="264" spans="1:10" ht="15.75" thickBot="1" x14ac:dyDescent="0.3">
      <c r="A264" s="23" t="s">
        <v>153</v>
      </c>
      <c r="B264" s="2"/>
      <c r="C264" s="2"/>
      <c r="D264" s="2"/>
      <c r="E264" s="14" t="s">
        <v>22</v>
      </c>
      <c r="F264" s="5"/>
      <c r="G264" s="15">
        <v>114500</v>
      </c>
      <c r="H264" s="15">
        <f>SUM(H265:H281)</f>
        <v>73000</v>
      </c>
      <c r="I264" s="15">
        <f>SUM(I265:I281)</f>
        <v>40610.1</v>
      </c>
      <c r="J264" s="15">
        <f>SUM(J265:J281)</f>
        <v>32389.9</v>
      </c>
    </row>
    <row r="265" spans="1:10" ht="13.5" thickTop="1" x14ac:dyDescent="0.2">
      <c r="B265" s="8" t="s">
        <v>87</v>
      </c>
      <c r="C265" s="57">
        <v>42384</v>
      </c>
      <c r="D265" s="57">
        <v>46036</v>
      </c>
      <c r="E265" s="44" t="s">
        <v>88</v>
      </c>
      <c r="F265" s="18" t="s">
        <v>19</v>
      </c>
      <c r="G265" s="18"/>
      <c r="H265" s="33">
        <v>3000</v>
      </c>
      <c r="I265" s="33">
        <f>IF($J$262&gt;=D265,H265,(8504.9/6))</f>
        <v>1417.4833333333333</v>
      </c>
      <c r="J265" s="22">
        <f t="shared" ref="J265:J277" si="19">H265-I265</f>
        <v>1582.5166666666667</v>
      </c>
    </row>
    <row r="266" spans="1:10" x14ac:dyDescent="0.2">
      <c r="B266" s="8" t="s">
        <v>87</v>
      </c>
      <c r="C266" s="57">
        <v>42387</v>
      </c>
      <c r="D266" s="57">
        <v>46036</v>
      </c>
      <c r="E266" s="44" t="s">
        <v>88</v>
      </c>
      <c r="F266" s="18" t="s">
        <v>19</v>
      </c>
      <c r="G266" s="18"/>
      <c r="H266" s="33">
        <v>1993</v>
      </c>
      <c r="I266" s="33">
        <f>IF($J$262&gt;=D266,H266,(8504.9/6))</f>
        <v>1417.4833333333333</v>
      </c>
      <c r="J266" s="32">
        <f t="shared" si="19"/>
        <v>575.51666666666665</v>
      </c>
    </row>
    <row r="267" spans="1:10" x14ac:dyDescent="0.2">
      <c r="B267" s="8" t="s">
        <v>87</v>
      </c>
      <c r="C267" s="57">
        <v>42402</v>
      </c>
      <c r="D267" s="57">
        <v>46036</v>
      </c>
      <c r="E267" s="44" t="s">
        <v>88</v>
      </c>
      <c r="F267" s="18" t="s">
        <v>19</v>
      </c>
      <c r="G267" s="18"/>
      <c r="H267" s="33">
        <v>3500</v>
      </c>
      <c r="I267" s="33">
        <f>IF($J$262&gt;=D267,H267,(8504.9/6))</f>
        <v>1417.4833333333333</v>
      </c>
      <c r="J267" s="32">
        <f t="shared" si="19"/>
        <v>2082.5166666666664</v>
      </c>
    </row>
    <row r="268" spans="1:10" x14ac:dyDescent="0.2">
      <c r="B268" s="8" t="s">
        <v>87</v>
      </c>
      <c r="C268" s="57">
        <v>42403</v>
      </c>
      <c r="D268" s="57">
        <v>46036</v>
      </c>
      <c r="E268" s="44" t="s">
        <v>88</v>
      </c>
      <c r="F268" s="18" t="s">
        <v>19</v>
      </c>
      <c r="G268" s="18"/>
      <c r="H268" s="33">
        <v>1507</v>
      </c>
      <c r="I268" s="33">
        <f>IF($J$262&gt;=D268,H268,1507)</f>
        <v>1507</v>
      </c>
      <c r="J268" s="32">
        <f t="shared" si="19"/>
        <v>0</v>
      </c>
    </row>
    <row r="269" spans="1:10" x14ac:dyDescent="0.2">
      <c r="B269" s="8" t="s">
        <v>87</v>
      </c>
      <c r="C269" s="57">
        <v>42430</v>
      </c>
      <c r="D269" s="57">
        <v>46036</v>
      </c>
      <c r="E269" s="44" t="s">
        <v>88</v>
      </c>
      <c r="F269" s="18" t="s">
        <v>19</v>
      </c>
      <c r="G269" s="18"/>
      <c r="H269" s="33">
        <v>3753.9</v>
      </c>
      <c r="I269" s="33">
        <f>IF($J$262&gt;=D269,H269,(8504.9/6))</f>
        <v>1417.4833333333333</v>
      </c>
      <c r="J269" s="32">
        <f t="shared" si="19"/>
        <v>2336.416666666667</v>
      </c>
    </row>
    <row r="270" spans="1:10" x14ac:dyDescent="0.2">
      <c r="B270" s="8" t="s">
        <v>87</v>
      </c>
      <c r="C270" s="57">
        <v>42431</v>
      </c>
      <c r="D270" s="57">
        <v>46036</v>
      </c>
      <c r="E270" s="44" t="s">
        <v>88</v>
      </c>
      <c r="F270" s="18" t="s">
        <v>19</v>
      </c>
      <c r="G270" s="18"/>
      <c r="H270" s="33">
        <v>2496.1</v>
      </c>
      <c r="I270" s="33">
        <f>IF($J$262&gt;=D270,H270,(8504.9/6))</f>
        <v>1417.4833333333333</v>
      </c>
      <c r="J270" s="32">
        <f t="shared" si="19"/>
        <v>1078.6166666666666</v>
      </c>
    </row>
    <row r="271" spans="1:10" x14ac:dyDescent="0.2">
      <c r="B271" s="8" t="s">
        <v>87</v>
      </c>
      <c r="C271" s="57">
        <v>42465</v>
      </c>
      <c r="D271" s="57">
        <v>46036</v>
      </c>
      <c r="E271" s="44" t="s">
        <v>88</v>
      </c>
      <c r="F271" s="18" t="s">
        <v>19</v>
      </c>
      <c r="G271" s="18"/>
      <c r="H271" s="33">
        <v>3000</v>
      </c>
      <c r="I271" s="33">
        <f>IF($J$262&gt;=D271,H271,(8504.9/6))</f>
        <v>1417.4833333333333</v>
      </c>
      <c r="J271" s="32">
        <f t="shared" si="19"/>
        <v>1582.5166666666667</v>
      </c>
    </row>
    <row r="272" spans="1:10" x14ac:dyDescent="0.2">
      <c r="B272" s="8" t="s">
        <v>87</v>
      </c>
      <c r="C272" s="57">
        <v>42466</v>
      </c>
      <c r="D272" s="57">
        <v>46036</v>
      </c>
      <c r="E272" s="44" t="s">
        <v>88</v>
      </c>
      <c r="F272" s="18" t="s">
        <v>19</v>
      </c>
      <c r="G272" s="18"/>
      <c r="H272" s="33">
        <v>750</v>
      </c>
      <c r="I272" s="33">
        <f>IF($J$262&gt;=D272,H272,750)</f>
        <v>750</v>
      </c>
      <c r="J272" s="32">
        <f t="shared" si="19"/>
        <v>0</v>
      </c>
    </row>
    <row r="273" spans="2:10" x14ac:dyDescent="0.2">
      <c r="B273" s="8" t="s">
        <v>91</v>
      </c>
      <c r="C273" s="57">
        <v>42493</v>
      </c>
      <c r="D273" s="57">
        <v>46332</v>
      </c>
      <c r="E273" s="44" t="s">
        <v>92</v>
      </c>
      <c r="F273" s="18" t="s">
        <v>19</v>
      </c>
      <c r="G273" s="18"/>
      <c r="H273" s="33">
        <v>7000</v>
      </c>
      <c r="I273" s="33">
        <f>IF($J$262&gt;=D273,H273,(12242.4/2))</f>
        <v>6121.2</v>
      </c>
      <c r="J273" s="32">
        <f t="shared" si="19"/>
        <v>878.80000000000018</v>
      </c>
    </row>
    <row r="274" spans="2:10" x14ac:dyDescent="0.2">
      <c r="B274" s="8" t="s">
        <v>91</v>
      </c>
      <c r="C274" s="57">
        <v>42494</v>
      </c>
      <c r="D274" s="57">
        <v>46332</v>
      </c>
      <c r="E274" s="44" t="s">
        <v>92</v>
      </c>
      <c r="F274" s="18" t="s">
        <v>19</v>
      </c>
      <c r="G274" s="18"/>
      <c r="H274" s="33">
        <v>13000</v>
      </c>
      <c r="I274" s="33">
        <f>IF($J$262&gt;=D274,H274,(12242.4/2))</f>
        <v>6121.2</v>
      </c>
      <c r="J274" s="32">
        <f t="shared" si="19"/>
        <v>6878.8</v>
      </c>
    </row>
    <row r="275" spans="2:10" x14ac:dyDescent="0.2">
      <c r="B275" s="8" t="s">
        <v>93</v>
      </c>
      <c r="C275" s="57">
        <v>42528</v>
      </c>
      <c r="D275" s="57">
        <v>46360</v>
      </c>
      <c r="E275" s="44" t="s">
        <v>92</v>
      </c>
      <c r="F275" s="18" t="s">
        <v>19</v>
      </c>
      <c r="G275" s="18"/>
      <c r="H275" s="33">
        <v>10000</v>
      </c>
      <c r="I275" s="33">
        <f>IF($J$262&gt;=D275,H275,(8837.8/2))</f>
        <v>4418.8999999999996</v>
      </c>
      <c r="J275" s="32">
        <f t="shared" si="19"/>
        <v>5581.1</v>
      </c>
    </row>
    <row r="276" spans="2:10" x14ac:dyDescent="0.2">
      <c r="B276" s="8" t="s">
        <v>93</v>
      </c>
      <c r="C276" s="57">
        <v>42529</v>
      </c>
      <c r="D276" s="57">
        <v>46360</v>
      </c>
      <c r="E276" s="44" t="s">
        <v>92</v>
      </c>
      <c r="F276" s="18" t="s">
        <v>19</v>
      </c>
      <c r="G276" s="18"/>
      <c r="H276" s="33">
        <v>6000</v>
      </c>
      <c r="I276" s="33">
        <f>IF($J$262&gt;=D276,H276,(8837.8/2))</f>
        <v>4418.8999999999996</v>
      </c>
      <c r="J276" s="32">
        <f t="shared" si="19"/>
        <v>1581.1000000000004</v>
      </c>
    </row>
    <row r="277" spans="2:10" x14ac:dyDescent="0.2">
      <c r="B277" s="8" t="s">
        <v>94</v>
      </c>
      <c r="C277" s="57">
        <v>42584</v>
      </c>
      <c r="D277" s="57">
        <v>47305</v>
      </c>
      <c r="E277" s="44" t="s">
        <v>76</v>
      </c>
      <c r="F277" s="18" t="s">
        <v>19</v>
      </c>
      <c r="G277" s="18"/>
      <c r="H277" s="33">
        <v>2000</v>
      </c>
      <c r="I277" s="33">
        <f t="shared" ref="I277:I278" si="20">IF($J$262&gt;=D277,H277,0)</f>
        <v>0</v>
      </c>
      <c r="J277" s="32">
        <f t="shared" si="19"/>
        <v>2000</v>
      </c>
    </row>
    <row r="278" spans="2:10" x14ac:dyDescent="0.2">
      <c r="B278" s="8" t="s">
        <v>94</v>
      </c>
      <c r="C278" s="57">
        <v>42585</v>
      </c>
      <c r="D278" s="57">
        <v>47305</v>
      </c>
      <c r="E278" s="44" t="s">
        <v>76</v>
      </c>
      <c r="F278" s="18" t="s">
        <v>19</v>
      </c>
      <c r="G278" s="18"/>
      <c r="H278" s="33">
        <v>5000</v>
      </c>
      <c r="I278" s="33">
        <f t="shared" si="20"/>
        <v>0</v>
      </c>
      <c r="J278" s="32">
        <f>H278-I278</f>
        <v>5000</v>
      </c>
    </row>
    <row r="279" spans="2:10" x14ac:dyDescent="0.2">
      <c r="B279" s="8" t="s">
        <v>95</v>
      </c>
      <c r="C279" s="57">
        <v>42619</v>
      </c>
      <c r="D279" s="57">
        <v>44624</v>
      </c>
      <c r="E279" s="44" t="s">
        <v>84</v>
      </c>
      <c r="F279" s="18" t="s">
        <v>19</v>
      </c>
      <c r="G279" s="18"/>
      <c r="H279" s="33">
        <v>3500</v>
      </c>
      <c r="I279" s="33">
        <f>IF($J$262&gt;=D279,H279,(7294.5/4))</f>
        <v>3500</v>
      </c>
      <c r="J279" s="32">
        <f>H279-I279</f>
        <v>0</v>
      </c>
    </row>
    <row r="280" spans="2:10" x14ac:dyDescent="0.2">
      <c r="B280" s="8" t="s">
        <v>96</v>
      </c>
      <c r="C280" s="57">
        <v>42675</v>
      </c>
      <c r="D280" s="57">
        <v>46423</v>
      </c>
      <c r="E280" s="44" t="s">
        <v>105</v>
      </c>
      <c r="F280" s="18" t="s">
        <v>19</v>
      </c>
      <c r="G280" s="18"/>
      <c r="H280" s="33">
        <v>3000</v>
      </c>
      <c r="I280" s="33">
        <f>IF($J$262&gt;=D280,H280,(13170/5))</f>
        <v>2634</v>
      </c>
      <c r="J280" s="32">
        <f>H280-I280</f>
        <v>366</v>
      </c>
    </row>
    <row r="281" spans="2:10" x14ac:dyDescent="0.2">
      <c r="B281" s="8" t="s">
        <v>96</v>
      </c>
      <c r="C281" s="57">
        <v>42676</v>
      </c>
      <c r="D281" s="57">
        <v>46423</v>
      </c>
      <c r="E281" s="44" t="s">
        <v>105</v>
      </c>
      <c r="F281" s="18" t="s">
        <v>19</v>
      </c>
      <c r="G281" s="18"/>
      <c r="H281" s="33">
        <v>3500</v>
      </c>
      <c r="I281" s="33">
        <f>IF($J$262&gt;=D281,H281,(13170/5))</f>
        <v>2634</v>
      </c>
      <c r="J281" s="32">
        <f>H281-I281</f>
        <v>866</v>
      </c>
    </row>
    <row r="282" spans="2:10" ht="13.5" thickBot="1" x14ac:dyDescent="0.25">
      <c r="B282" s="59"/>
      <c r="C282" s="59"/>
      <c r="D282" s="59"/>
      <c r="E282" s="59"/>
      <c r="F282" s="59"/>
      <c r="G282" s="59"/>
      <c r="H282" s="59"/>
      <c r="I282" s="59"/>
      <c r="J282" s="59"/>
    </row>
    <row r="283" spans="2:10" x14ac:dyDescent="0.2">
      <c r="B283" s="21"/>
      <c r="C283" s="77"/>
      <c r="D283" s="78"/>
      <c r="E283" s="20"/>
      <c r="F283" s="18"/>
      <c r="G283" s="18"/>
      <c r="H283" s="33"/>
      <c r="I283" s="33"/>
      <c r="J283" s="32"/>
    </row>
    <row r="284" spans="2:10" x14ac:dyDescent="0.2">
      <c r="B284" s="11" t="s">
        <v>23</v>
      </c>
      <c r="C284" s="12"/>
      <c r="D284" s="12"/>
      <c r="E284" s="12"/>
      <c r="F284" s="12"/>
      <c r="G284" s="13"/>
      <c r="H284" s="12"/>
      <c r="I284" s="12"/>
      <c r="J284" s="12"/>
    </row>
    <row r="285" spans="2:10" ht="13.5" thickBot="1" x14ac:dyDescent="0.25">
      <c r="B285" s="79"/>
      <c r="C285" s="79"/>
      <c r="D285" s="79"/>
      <c r="F285" s="80"/>
    </row>
    <row r="286" spans="2:10" ht="13.5" thickTop="1" x14ac:dyDescent="0.2"/>
    <row r="287" spans="2:10" hidden="1" x14ac:dyDescent="0.2"/>
    <row r="288" spans="2:10" hidden="1" x14ac:dyDescent="0.2"/>
    <row r="289" spans="2:10" ht="15" hidden="1" x14ac:dyDescent="0.25">
      <c r="B289" s="93" t="s">
        <v>97</v>
      </c>
      <c r="C289" s="93"/>
      <c r="D289" s="93"/>
      <c r="E289" s="93"/>
      <c r="F289" s="93"/>
      <c r="G289" s="93"/>
      <c r="H289" s="93"/>
      <c r="I289" s="93"/>
      <c r="J289" s="93"/>
    </row>
    <row r="290" spans="2:10" hidden="1" x14ac:dyDescent="0.2">
      <c r="B290" s="73"/>
      <c r="C290" s="73"/>
      <c r="D290" s="73"/>
      <c r="J290" s="74"/>
    </row>
    <row r="291" spans="2:10" hidden="1" x14ac:dyDescent="0.2">
      <c r="B291" s="94" t="s">
        <v>4</v>
      </c>
      <c r="C291" s="94"/>
      <c r="D291" s="94"/>
      <c r="E291" s="94"/>
      <c r="F291" s="94"/>
      <c r="G291" s="94"/>
      <c r="H291" s="94"/>
      <c r="I291" s="94"/>
      <c r="J291" s="94"/>
    </row>
    <row r="292" spans="2:10" ht="25.5" hidden="1" x14ac:dyDescent="0.2">
      <c r="B292" s="97" t="s">
        <v>0</v>
      </c>
      <c r="C292" s="97" t="s">
        <v>31</v>
      </c>
      <c r="D292" s="97" t="s">
        <v>1</v>
      </c>
      <c r="E292" s="97" t="s">
        <v>8</v>
      </c>
      <c r="F292" s="97" t="s">
        <v>18</v>
      </c>
      <c r="G292" s="97" t="s">
        <v>14</v>
      </c>
      <c r="H292" s="26" t="s">
        <v>6</v>
      </c>
      <c r="I292" s="26" t="s">
        <v>2</v>
      </c>
      <c r="J292" s="27" t="s">
        <v>3</v>
      </c>
    </row>
    <row r="293" spans="2:10" hidden="1" x14ac:dyDescent="0.2">
      <c r="B293" s="98"/>
      <c r="C293" s="98"/>
      <c r="D293" s="98"/>
      <c r="E293" s="98"/>
      <c r="F293" s="98"/>
      <c r="G293" s="98"/>
      <c r="H293" s="28"/>
      <c r="I293" s="28"/>
      <c r="J293" s="43">
        <f>+J262</f>
        <v>45716</v>
      </c>
    </row>
    <row r="294" spans="2:10" hidden="1" x14ac:dyDescent="0.2">
      <c r="B294" s="2"/>
      <c r="C294" s="2"/>
      <c r="D294" s="2"/>
      <c r="E294" s="2"/>
      <c r="F294" s="2"/>
      <c r="G294" s="76"/>
      <c r="H294" s="2"/>
      <c r="I294" s="2"/>
      <c r="J294" s="10"/>
    </row>
    <row r="295" spans="2:10" ht="13.5" hidden="1" thickBot="1" x14ac:dyDescent="0.25">
      <c r="B295" s="59"/>
      <c r="C295" s="59"/>
      <c r="D295" s="59"/>
      <c r="E295" s="59"/>
      <c r="F295" s="59"/>
      <c r="G295" s="59"/>
      <c r="H295" s="59"/>
      <c r="I295" s="59"/>
      <c r="J295" s="59"/>
    </row>
    <row r="296" spans="2:10" hidden="1" x14ac:dyDescent="0.2">
      <c r="B296" s="21"/>
      <c r="C296" s="77"/>
      <c r="D296" s="78"/>
      <c r="E296" s="20"/>
      <c r="F296" s="18"/>
      <c r="G296" s="18"/>
      <c r="H296" s="33"/>
      <c r="I296" s="33"/>
      <c r="J296" s="32"/>
    </row>
    <row r="297" spans="2:10" hidden="1" x14ac:dyDescent="0.2">
      <c r="B297" s="11" t="s">
        <v>23</v>
      </c>
      <c r="C297" s="12"/>
      <c r="D297" s="12"/>
      <c r="E297" s="12"/>
      <c r="F297" s="12"/>
      <c r="G297" s="13"/>
      <c r="H297" s="12"/>
      <c r="I297" s="12"/>
      <c r="J297" s="12"/>
    </row>
    <row r="298" spans="2:10" ht="13.5" hidden="1" thickBot="1" x14ac:dyDescent="0.25">
      <c r="B298" s="79"/>
      <c r="C298" s="79"/>
      <c r="D298" s="79"/>
      <c r="F298" s="80"/>
    </row>
    <row r="299" spans="2:10" hidden="1" x14ac:dyDescent="0.2"/>
    <row r="300" spans="2:10" hidden="1" x14ac:dyDescent="0.2"/>
    <row r="301" spans="2:10" hidden="1" x14ac:dyDescent="0.2"/>
    <row r="302" spans="2:10" hidden="1" x14ac:dyDescent="0.2"/>
    <row r="303" spans="2:10" hidden="1" x14ac:dyDescent="0.2"/>
    <row r="304" spans="2:10" hidden="1" x14ac:dyDescent="0.2"/>
    <row r="305" spans="2:10" hidden="1" x14ac:dyDescent="0.2"/>
    <row r="306" spans="2:10" hidden="1" x14ac:dyDescent="0.2"/>
    <row r="307" spans="2:10" hidden="1" x14ac:dyDescent="0.2"/>
    <row r="308" spans="2:10" hidden="1" x14ac:dyDescent="0.2"/>
    <row r="309" spans="2:10" hidden="1" x14ac:dyDescent="0.2"/>
    <row r="310" spans="2:10" hidden="1" x14ac:dyDescent="0.2"/>
    <row r="311" spans="2:10" hidden="1" x14ac:dyDescent="0.2"/>
    <row r="312" spans="2:10" hidden="1" x14ac:dyDescent="0.2"/>
    <row r="313" spans="2:10" hidden="1" x14ac:dyDescent="0.2"/>
    <row r="314" spans="2:10" hidden="1" x14ac:dyDescent="0.2"/>
    <row r="317" spans="2:10" ht="15" x14ac:dyDescent="0.25">
      <c r="B317" s="93" t="s">
        <v>97</v>
      </c>
      <c r="C317" s="93"/>
      <c r="D317" s="93"/>
      <c r="E317" s="93"/>
      <c r="F317" s="93"/>
      <c r="G317" s="93"/>
      <c r="H317" s="93"/>
      <c r="I317" s="93"/>
      <c r="J317" s="93"/>
    </row>
    <row r="318" spans="2:10" x14ac:dyDescent="0.2">
      <c r="B318" s="73"/>
      <c r="C318" s="73"/>
      <c r="D318" s="73"/>
      <c r="J318" s="74"/>
    </row>
    <row r="319" spans="2:10" x14ac:dyDescent="0.2">
      <c r="B319" s="94" t="s">
        <v>4</v>
      </c>
      <c r="C319" s="94"/>
      <c r="D319" s="94"/>
      <c r="E319" s="94"/>
      <c r="F319" s="94"/>
      <c r="G319" s="94"/>
      <c r="H319" s="94"/>
      <c r="I319" s="94"/>
      <c r="J319" s="94"/>
    </row>
    <row r="320" spans="2:10" ht="25.5" x14ac:dyDescent="0.2">
      <c r="B320" s="95" t="s">
        <v>0</v>
      </c>
      <c r="C320" s="95" t="s">
        <v>31</v>
      </c>
      <c r="D320" s="95" t="s">
        <v>1</v>
      </c>
      <c r="E320" s="95" t="s">
        <v>8</v>
      </c>
      <c r="F320" s="95" t="s">
        <v>18</v>
      </c>
      <c r="G320" s="95" t="s">
        <v>14</v>
      </c>
      <c r="H320" s="95" t="s">
        <v>6</v>
      </c>
      <c r="I320" s="95" t="s">
        <v>2</v>
      </c>
      <c r="J320" s="84" t="s">
        <v>3</v>
      </c>
    </row>
    <row r="321" spans="1:11" x14ac:dyDescent="0.2">
      <c r="B321" s="96"/>
      <c r="C321" s="96"/>
      <c r="D321" s="96"/>
      <c r="E321" s="96"/>
      <c r="F321" s="96"/>
      <c r="G321" s="96"/>
      <c r="H321" s="96"/>
      <c r="I321" s="96"/>
      <c r="J321" s="85">
        <f>+J262</f>
        <v>45716</v>
      </c>
    </row>
    <row r="322" spans="1:11" x14ac:dyDescent="0.2">
      <c r="B322" s="2"/>
      <c r="C322" s="2"/>
      <c r="D322" s="2"/>
      <c r="E322" s="2"/>
      <c r="F322" s="2"/>
      <c r="G322" s="76"/>
      <c r="H322" s="2"/>
      <c r="I322" s="2"/>
      <c r="J322" s="10"/>
    </row>
    <row r="323" spans="1:11" ht="15.75" thickBot="1" x14ac:dyDescent="0.3">
      <c r="A323" s="23" t="s">
        <v>153</v>
      </c>
      <c r="B323" s="2"/>
      <c r="C323" s="2"/>
      <c r="D323" s="2"/>
      <c r="E323" s="14" t="s">
        <v>22</v>
      </c>
      <c r="F323" s="5"/>
      <c r="G323" s="15">
        <v>122888</v>
      </c>
      <c r="H323" s="15">
        <f>SUM(H324:H343)</f>
        <v>85000</v>
      </c>
      <c r="I323" s="15">
        <f>SUM(I324:I343)</f>
        <v>32902</v>
      </c>
      <c r="J323" s="15">
        <f>SUM(J324:J343)</f>
        <v>52098</v>
      </c>
      <c r="K323" s="102"/>
    </row>
    <row r="324" spans="1:11" ht="13.5" thickTop="1" x14ac:dyDescent="0.2">
      <c r="B324" s="8" t="s">
        <v>96</v>
      </c>
      <c r="C324" s="57">
        <v>42773</v>
      </c>
      <c r="D324" s="57">
        <v>46423</v>
      </c>
      <c r="E324" s="44" t="s">
        <v>105</v>
      </c>
      <c r="F324" s="18" t="s">
        <v>19</v>
      </c>
      <c r="G324" s="18"/>
      <c r="H324" s="33">
        <v>2500</v>
      </c>
      <c r="I324" s="33">
        <f>IF($J$321&gt;=D324,H324,2500)</f>
        <v>2500</v>
      </c>
      <c r="J324" s="22">
        <f t="shared" ref="J324:J337" si="21">H324-I324</f>
        <v>0</v>
      </c>
    </row>
    <row r="325" spans="1:11" x14ac:dyDescent="0.2">
      <c r="B325" s="8" t="s">
        <v>96</v>
      </c>
      <c r="C325" s="57">
        <v>42774</v>
      </c>
      <c r="D325" s="57">
        <v>46423</v>
      </c>
      <c r="E325" s="44" t="s">
        <v>105</v>
      </c>
      <c r="F325" s="18" t="s">
        <v>19</v>
      </c>
      <c r="G325" s="18"/>
      <c r="H325" s="33">
        <v>3879.2</v>
      </c>
      <c r="I325" s="33">
        <f>IF($J$321&gt;=D325,H325,(13170/5))</f>
        <v>2634</v>
      </c>
      <c r="J325" s="32">
        <f t="shared" si="21"/>
        <v>1245.1999999999998</v>
      </c>
    </row>
    <row r="326" spans="1:11" x14ac:dyDescent="0.2">
      <c r="B326" s="8" t="s">
        <v>96</v>
      </c>
      <c r="C326" s="57">
        <v>42801</v>
      </c>
      <c r="D326" s="57">
        <v>46423</v>
      </c>
      <c r="E326" s="44" t="s">
        <v>105</v>
      </c>
      <c r="F326" s="18" t="s">
        <v>19</v>
      </c>
      <c r="G326" s="18"/>
      <c r="H326" s="33">
        <v>5000</v>
      </c>
      <c r="I326" s="33">
        <f>IF($J$321&gt;=D326,H326,(13170/5))</f>
        <v>2634</v>
      </c>
      <c r="J326" s="32">
        <f t="shared" si="21"/>
        <v>2366</v>
      </c>
    </row>
    <row r="327" spans="1:11" x14ac:dyDescent="0.2">
      <c r="B327" s="8" t="s">
        <v>96</v>
      </c>
      <c r="C327" s="57">
        <v>42802</v>
      </c>
      <c r="D327" s="57">
        <v>46423</v>
      </c>
      <c r="E327" s="44" t="s">
        <v>105</v>
      </c>
      <c r="F327" s="18" t="s">
        <v>19</v>
      </c>
      <c r="G327" s="18"/>
      <c r="H327" s="33">
        <v>7825.8</v>
      </c>
      <c r="I327" s="33">
        <f>IF($J$321&gt;=D327,H327,(13170/5))</f>
        <v>2634</v>
      </c>
      <c r="J327" s="32">
        <f t="shared" si="21"/>
        <v>5191.8</v>
      </c>
    </row>
    <row r="328" spans="1:11" x14ac:dyDescent="0.2">
      <c r="B328" s="8" t="s">
        <v>101</v>
      </c>
      <c r="C328" s="57">
        <v>42829</v>
      </c>
      <c r="D328" s="57">
        <v>45023</v>
      </c>
      <c r="E328" s="44" t="s">
        <v>103</v>
      </c>
      <c r="F328" s="18" t="s">
        <v>19</v>
      </c>
      <c r="G328" s="18"/>
      <c r="H328" s="33">
        <v>2500</v>
      </c>
      <c r="I328" s="33">
        <f>IF($J$321&gt;=D328,H328,(7485.1/11))</f>
        <v>2500</v>
      </c>
      <c r="J328" s="32">
        <f t="shared" si="21"/>
        <v>0</v>
      </c>
    </row>
    <row r="329" spans="1:11" x14ac:dyDescent="0.2">
      <c r="B329" s="8" t="s">
        <v>102</v>
      </c>
      <c r="C329" s="57">
        <v>42829</v>
      </c>
      <c r="D329" s="57">
        <v>48278</v>
      </c>
      <c r="E329" s="44" t="s">
        <v>104</v>
      </c>
      <c r="F329" s="18" t="s">
        <v>19</v>
      </c>
      <c r="G329" s="18"/>
      <c r="H329" s="33">
        <v>4500</v>
      </c>
      <c r="I329" s="33">
        <f t="shared" ref="I329:I343" si="22">IF($J$321&gt;=D329,H329,0)</f>
        <v>0</v>
      </c>
      <c r="J329" s="32">
        <f t="shared" si="21"/>
        <v>4500</v>
      </c>
    </row>
    <row r="330" spans="1:11" x14ac:dyDescent="0.2">
      <c r="B330" s="8" t="s">
        <v>101</v>
      </c>
      <c r="C330" s="57">
        <v>42830</v>
      </c>
      <c r="D330" s="57">
        <v>45023</v>
      </c>
      <c r="E330" s="44" t="s">
        <v>103</v>
      </c>
      <c r="F330" s="18" t="s">
        <v>19</v>
      </c>
      <c r="G330" s="18"/>
      <c r="H330" s="33">
        <v>7500</v>
      </c>
      <c r="I330" s="33">
        <f>IF($J$321&gt;=D330,H330,(7485.1/11))</f>
        <v>7500</v>
      </c>
      <c r="J330" s="32">
        <f t="shared" si="21"/>
        <v>0</v>
      </c>
    </row>
    <row r="331" spans="1:11" x14ac:dyDescent="0.2">
      <c r="B331" s="8" t="s">
        <v>102</v>
      </c>
      <c r="C331" s="57">
        <v>42830</v>
      </c>
      <c r="D331" s="57">
        <v>48278</v>
      </c>
      <c r="E331" s="44" t="s">
        <v>104</v>
      </c>
      <c r="F331" s="18" t="s">
        <v>19</v>
      </c>
      <c r="G331" s="18"/>
      <c r="H331" s="33">
        <v>5500</v>
      </c>
      <c r="I331" s="33">
        <f t="shared" si="22"/>
        <v>0</v>
      </c>
      <c r="J331" s="32">
        <f t="shared" si="21"/>
        <v>5500</v>
      </c>
    </row>
    <row r="332" spans="1:11" x14ac:dyDescent="0.2">
      <c r="B332" s="8" t="s">
        <v>102</v>
      </c>
      <c r="C332" s="57">
        <v>42857</v>
      </c>
      <c r="D332" s="57">
        <v>48278</v>
      </c>
      <c r="E332" s="44" t="s">
        <v>104</v>
      </c>
      <c r="F332" s="18" t="s">
        <v>19</v>
      </c>
      <c r="G332" s="18"/>
      <c r="H332" s="33">
        <v>6500</v>
      </c>
      <c r="I332" s="33">
        <f t="shared" si="22"/>
        <v>0</v>
      </c>
      <c r="J332" s="32">
        <f t="shared" si="21"/>
        <v>6500</v>
      </c>
    </row>
    <row r="333" spans="1:11" x14ac:dyDescent="0.2">
      <c r="B333" s="8" t="s">
        <v>102</v>
      </c>
      <c r="C333" s="57">
        <v>42858</v>
      </c>
      <c r="D333" s="57">
        <v>48278</v>
      </c>
      <c r="E333" s="44" t="s">
        <v>104</v>
      </c>
      <c r="F333" s="18" t="s">
        <v>19</v>
      </c>
      <c r="G333" s="18"/>
      <c r="H333" s="33">
        <v>8873</v>
      </c>
      <c r="I333" s="33">
        <f t="shared" si="22"/>
        <v>0</v>
      </c>
      <c r="J333" s="32">
        <f t="shared" si="21"/>
        <v>8873</v>
      </c>
    </row>
    <row r="334" spans="1:11" x14ac:dyDescent="0.2">
      <c r="B334" s="8" t="s">
        <v>101</v>
      </c>
      <c r="C334" s="57">
        <v>42892</v>
      </c>
      <c r="D334" s="57">
        <v>45023</v>
      </c>
      <c r="E334" s="44" t="s">
        <v>103</v>
      </c>
      <c r="F334" s="18" t="s">
        <v>19</v>
      </c>
      <c r="G334" s="18"/>
      <c r="H334" s="33">
        <v>2000</v>
      </c>
      <c r="I334" s="33">
        <f>IF($J$321&gt;=D334,H334,(7485.1/11))</f>
        <v>2000</v>
      </c>
      <c r="J334" s="32">
        <f t="shared" si="21"/>
        <v>0</v>
      </c>
    </row>
    <row r="335" spans="1:11" x14ac:dyDescent="0.2">
      <c r="B335" s="8" t="s">
        <v>101</v>
      </c>
      <c r="C335" s="57">
        <v>42893</v>
      </c>
      <c r="D335" s="57">
        <v>45023</v>
      </c>
      <c r="E335" s="44" t="s">
        <v>103</v>
      </c>
      <c r="F335" s="18" t="s">
        <v>19</v>
      </c>
      <c r="G335" s="18"/>
      <c r="H335" s="33">
        <v>500</v>
      </c>
      <c r="I335" s="33">
        <f>IF($J$321&gt;=D335,H335,500)</f>
        <v>500</v>
      </c>
      <c r="J335" s="32">
        <f t="shared" si="21"/>
        <v>0</v>
      </c>
    </row>
    <row r="336" spans="1:11" x14ac:dyDescent="0.2">
      <c r="B336" s="8" t="s">
        <v>102</v>
      </c>
      <c r="C336" s="57">
        <v>42948</v>
      </c>
      <c r="D336" s="57">
        <v>48278</v>
      </c>
      <c r="E336" s="44" t="s">
        <v>104</v>
      </c>
      <c r="F336" s="18" t="s">
        <v>19</v>
      </c>
      <c r="G336" s="18"/>
      <c r="H336" s="33">
        <v>3000</v>
      </c>
      <c r="I336" s="33">
        <f t="shared" si="22"/>
        <v>0</v>
      </c>
      <c r="J336" s="32">
        <f t="shared" si="21"/>
        <v>3000</v>
      </c>
      <c r="K336" s="102"/>
    </row>
    <row r="337" spans="2:10" x14ac:dyDescent="0.2">
      <c r="B337" s="8" t="s">
        <v>102</v>
      </c>
      <c r="C337" s="57">
        <v>42949</v>
      </c>
      <c r="D337" s="57">
        <v>48278</v>
      </c>
      <c r="E337" s="44" t="s">
        <v>104</v>
      </c>
      <c r="F337" s="18" t="s">
        <v>19</v>
      </c>
      <c r="G337" s="18"/>
      <c r="H337" s="33">
        <v>4922</v>
      </c>
      <c r="I337" s="33">
        <f t="shared" si="22"/>
        <v>0</v>
      </c>
      <c r="J337" s="32">
        <f t="shared" si="21"/>
        <v>4922</v>
      </c>
    </row>
    <row r="338" spans="2:10" x14ac:dyDescent="0.2">
      <c r="B338" s="8" t="s">
        <v>101</v>
      </c>
      <c r="C338" s="57">
        <v>42983</v>
      </c>
      <c r="D338" s="57">
        <v>45023</v>
      </c>
      <c r="E338" s="44" t="s">
        <v>103</v>
      </c>
      <c r="F338" s="18" t="s">
        <v>19</v>
      </c>
      <c r="G338" s="18"/>
      <c r="H338" s="33">
        <v>4000</v>
      </c>
      <c r="I338" s="33">
        <f>IF($J$321&gt;=D338,H338,(7485.1/11))</f>
        <v>4000</v>
      </c>
      <c r="J338" s="32">
        <f>H338-I338</f>
        <v>0</v>
      </c>
    </row>
    <row r="339" spans="2:10" x14ac:dyDescent="0.2">
      <c r="B339" s="8" t="s">
        <v>101</v>
      </c>
      <c r="C339" s="57">
        <v>42984</v>
      </c>
      <c r="D339" s="57">
        <v>45023</v>
      </c>
      <c r="E339" s="44" t="s">
        <v>103</v>
      </c>
      <c r="F339" s="18" t="s">
        <v>19</v>
      </c>
      <c r="G339" s="18"/>
      <c r="H339" s="33">
        <v>1818.8</v>
      </c>
      <c r="I339" s="33">
        <f>IF($J$321&gt;=D339,H339,(7485.1/11))</f>
        <v>1818.8</v>
      </c>
      <c r="J339" s="32">
        <f>H339-I339</f>
        <v>0</v>
      </c>
    </row>
    <row r="340" spans="2:10" x14ac:dyDescent="0.2">
      <c r="B340" s="8" t="s">
        <v>101</v>
      </c>
      <c r="C340" s="57">
        <v>43011</v>
      </c>
      <c r="D340" s="57">
        <v>45023</v>
      </c>
      <c r="E340" s="44" t="s">
        <v>103</v>
      </c>
      <c r="F340" s="18" t="s">
        <v>19</v>
      </c>
      <c r="G340" s="18"/>
      <c r="H340" s="33">
        <v>3500</v>
      </c>
      <c r="I340" s="33">
        <f>IF($J$321&gt;=D340,H340,(7485.1/11))</f>
        <v>3500</v>
      </c>
      <c r="J340" s="32">
        <f t="shared" ref="J340:J343" si="23">H340-I340</f>
        <v>0</v>
      </c>
    </row>
    <row r="341" spans="2:10" x14ac:dyDescent="0.2">
      <c r="B341" s="8" t="s">
        <v>101</v>
      </c>
      <c r="C341" s="57">
        <v>43012</v>
      </c>
      <c r="D341" s="57">
        <v>45023</v>
      </c>
      <c r="E341" s="44" t="s">
        <v>103</v>
      </c>
      <c r="F341" s="18" t="s">
        <v>19</v>
      </c>
      <c r="G341" s="18"/>
      <c r="H341" s="33">
        <v>681.2</v>
      </c>
      <c r="I341" s="33">
        <f>IF($J$321&gt;=D341,H341,681.2)</f>
        <v>681.2</v>
      </c>
      <c r="J341" s="32">
        <f t="shared" si="23"/>
        <v>0</v>
      </c>
    </row>
    <row r="342" spans="2:10" x14ac:dyDescent="0.2">
      <c r="B342" s="8" t="s">
        <v>102</v>
      </c>
      <c r="C342" s="57">
        <v>43081</v>
      </c>
      <c r="D342" s="57">
        <v>48278</v>
      </c>
      <c r="E342" s="44" t="s">
        <v>104</v>
      </c>
      <c r="F342" s="18" t="s">
        <v>19</v>
      </c>
      <c r="G342" s="18"/>
      <c r="H342" s="33">
        <v>7500</v>
      </c>
      <c r="I342" s="33">
        <f t="shared" si="22"/>
        <v>0</v>
      </c>
      <c r="J342" s="32">
        <f t="shared" si="23"/>
        <v>7500</v>
      </c>
    </row>
    <row r="343" spans="2:10" x14ac:dyDescent="0.2">
      <c r="B343" s="8" t="s">
        <v>102</v>
      </c>
      <c r="C343" s="57">
        <v>43082</v>
      </c>
      <c r="D343" s="57">
        <v>48278</v>
      </c>
      <c r="E343" s="44" t="s">
        <v>104</v>
      </c>
      <c r="F343" s="18" t="s">
        <v>19</v>
      </c>
      <c r="G343" s="18"/>
      <c r="H343" s="33">
        <v>2500</v>
      </c>
      <c r="I343" s="33">
        <f t="shared" si="22"/>
        <v>0</v>
      </c>
      <c r="J343" s="32">
        <f t="shared" si="23"/>
        <v>2500</v>
      </c>
    </row>
    <row r="344" spans="2:10" x14ac:dyDescent="0.2">
      <c r="B344" s="21"/>
      <c r="C344" s="57"/>
      <c r="D344" s="57"/>
      <c r="E344" s="44"/>
      <c r="F344" s="18"/>
      <c r="G344" s="18"/>
      <c r="H344" s="33"/>
      <c r="I344" s="33"/>
      <c r="J344" s="32"/>
    </row>
    <row r="345" spans="2:10" ht="13.5" thickBot="1" x14ac:dyDescent="0.25">
      <c r="B345" s="59"/>
      <c r="C345" s="59"/>
      <c r="D345" s="59"/>
      <c r="E345" s="59"/>
      <c r="F345" s="59"/>
      <c r="G345" s="59"/>
      <c r="H345" s="59"/>
      <c r="I345" s="59"/>
      <c r="J345" s="59"/>
    </row>
    <row r="346" spans="2:10" x14ac:dyDescent="0.2">
      <c r="B346" s="21"/>
      <c r="C346" s="77"/>
      <c r="D346" s="78"/>
      <c r="E346" s="20"/>
      <c r="F346" s="18"/>
      <c r="G346" s="18"/>
      <c r="H346" s="33"/>
      <c r="I346" s="33"/>
      <c r="J346" s="32"/>
    </row>
    <row r="347" spans="2:10" x14ac:dyDescent="0.2">
      <c r="B347" s="11" t="s">
        <v>23</v>
      </c>
      <c r="C347" s="12"/>
      <c r="D347" s="12"/>
      <c r="E347" s="12"/>
      <c r="F347" s="12"/>
      <c r="G347" s="13"/>
      <c r="H347" s="12"/>
      <c r="I347" s="12"/>
      <c r="J347" s="12"/>
    </row>
    <row r="348" spans="2:10" ht="13.5" thickBot="1" x14ac:dyDescent="0.25">
      <c r="B348" s="79"/>
      <c r="C348" s="79"/>
      <c r="D348" s="79"/>
      <c r="F348" s="80"/>
    </row>
    <row r="349" spans="2:10" ht="13.5" thickTop="1" x14ac:dyDescent="0.2"/>
    <row r="350" spans="2:10" x14ac:dyDescent="0.2">
      <c r="I350" s="50"/>
    </row>
    <row r="351" spans="2:10" ht="15" x14ac:dyDescent="0.25">
      <c r="B351" s="93" t="s">
        <v>106</v>
      </c>
      <c r="C351" s="93"/>
      <c r="D351" s="93"/>
      <c r="E351" s="93"/>
      <c r="F351" s="93"/>
      <c r="G351" s="93"/>
      <c r="H351" s="93"/>
      <c r="I351" s="93"/>
      <c r="J351" s="93"/>
    </row>
    <row r="352" spans="2:10" x14ac:dyDescent="0.2">
      <c r="B352" s="73"/>
      <c r="C352" s="73"/>
      <c r="D352" s="73"/>
      <c r="J352" s="74"/>
    </row>
    <row r="353" spans="1:11" x14ac:dyDescent="0.2">
      <c r="B353" s="94" t="s">
        <v>4</v>
      </c>
      <c r="C353" s="94"/>
      <c r="D353" s="94"/>
      <c r="E353" s="94"/>
      <c r="F353" s="94"/>
      <c r="G353" s="94"/>
      <c r="H353" s="94"/>
      <c r="I353" s="94"/>
      <c r="J353" s="94"/>
    </row>
    <row r="354" spans="1:11" ht="25.5" x14ac:dyDescent="0.2">
      <c r="B354" s="95" t="s">
        <v>0</v>
      </c>
      <c r="C354" s="95" t="s">
        <v>31</v>
      </c>
      <c r="D354" s="95" t="s">
        <v>1</v>
      </c>
      <c r="E354" s="95" t="s">
        <v>8</v>
      </c>
      <c r="F354" s="95" t="s">
        <v>18</v>
      </c>
      <c r="G354" s="95" t="s">
        <v>14</v>
      </c>
      <c r="H354" s="95" t="s">
        <v>6</v>
      </c>
      <c r="I354" s="95" t="s">
        <v>2</v>
      </c>
      <c r="J354" s="84" t="s">
        <v>3</v>
      </c>
    </row>
    <row r="355" spans="1:11" x14ac:dyDescent="0.2">
      <c r="B355" s="96"/>
      <c r="C355" s="96"/>
      <c r="D355" s="96"/>
      <c r="E355" s="96"/>
      <c r="F355" s="96"/>
      <c r="G355" s="96"/>
      <c r="H355" s="96"/>
      <c r="I355" s="96"/>
      <c r="J355" s="85">
        <f>J321</f>
        <v>45716</v>
      </c>
    </row>
    <row r="356" spans="1:11" x14ac:dyDescent="0.2">
      <c r="B356" s="2"/>
      <c r="C356" s="2"/>
      <c r="D356" s="2"/>
      <c r="E356" s="2"/>
      <c r="F356" s="2"/>
      <c r="G356" s="76"/>
      <c r="H356" s="2"/>
      <c r="I356" s="2"/>
      <c r="J356" s="10"/>
    </row>
    <row r="357" spans="1:11" ht="15.75" thickBot="1" x14ac:dyDescent="0.3">
      <c r="A357" s="23" t="s">
        <v>153</v>
      </c>
      <c r="B357" s="2"/>
      <c r="C357" s="2"/>
      <c r="D357" s="2"/>
      <c r="E357" s="14" t="s">
        <v>22</v>
      </c>
      <c r="F357" s="5"/>
      <c r="G357" s="15">
        <v>175357</v>
      </c>
      <c r="H357" s="15">
        <f>SUM(H358:H366)</f>
        <v>28520.999999999967</v>
      </c>
      <c r="I357" s="15">
        <f>SUM(I358:I366)</f>
        <v>11371.29999999997</v>
      </c>
      <c r="J357" s="15">
        <f>SUM(J358:J366)</f>
        <v>17149.7</v>
      </c>
      <c r="K357" s="102"/>
    </row>
    <row r="358" spans="1:11" ht="13.5" thickTop="1" x14ac:dyDescent="0.2">
      <c r="B358" s="21" t="s">
        <v>121</v>
      </c>
      <c r="C358" s="57">
        <v>43110</v>
      </c>
      <c r="D358" s="57">
        <v>48278</v>
      </c>
      <c r="E358" s="44" t="s">
        <v>104</v>
      </c>
      <c r="F358" s="18" t="s">
        <v>19</v>
      </c>
      <c r="G358" s="18"/>
      <c r="H358" s="33">
        <v>7149.7</v>
      </c>
      <c r="I358" s="33">
        <f>IF($J$355&gt;=D358,H358,0)</f>
        <v>0</v>
      </c>
      <c r="J358" s="32">
        <f>H358-I358</f>
        <v>7149.7</v>
      </c>
    </row>
    <row r="359" spans="1:11" x14ac:dyDescent="0.2">
      <c r="B359" s="8" t="s">
        <v>122</v>
      </c>
      <c r="C359" s="57">
        <v>43137</v>
      </c>
      <c r="D359" s="57">
        <v>46423</v>
      </c>
      <c r="E359" s="44" t="s">
        <v>105</v>
      </c>
      <c r="F359" s="18" t="s">
        <v>19</v>
      </c>
      <c r="G359" s="18"/>
      <c r="H359" s="33">
        <v>2000</v>
      </c>
      <c r="I359" s="33">
        <f>IF($J$355&gt;=D359,H359,2000)</f>
        <v>2000</v>
      </c>
      <c r="J359" s="32">
        <f t="shared" ref="J359:J366" si="24">H359-I359</f>
        <v>0</v>
      </c>
    </row>
    <row r="360" spans="1:11" x14ac:dyDescent="0.2">
      <c r="B360" s="21" t="s">
        <v>109</v>
      </c>
      <c r="C360" s="57">
        <v>43319</v>
      </c>
      <c r="D360" s="57">
        <v>46976</v>
      </c>
      <c r="E360" s="44" t="s">
        <v>110</v>
      </c>
      <c r="F360" s="18" t="s">
        <v>19</v>
      </c>
      <c r="G360" s="18"/>
      <c r="H360" s="33">
        <v>2000</v>
      </c>
      <c r="I360" s="33">
        <f t="shared" ref="I360:I361" si="25">IF($J$355&gt;=D360,H360,0)</f>
        <v>0</v>
      </c>
      <c r="J360" s="32">
        <f t="shared" si="24"/>
        <v>2000</v>
      </c>
    </row>
    <row r="361" spans="1:11" x14ac:dyDescent="0.2">
      <c r="B361" s="8" t="s">
        <v>109</v>
      </c>
      <c r="C361" s="57">
        <v>43320</v>
      </c>
      <c r="D361" s="57">
        <v>46976</v>
      </c>
      <c r="E361" s="44" t="s">
        <v>110</v>
      </c>
      <c r="F361" s="18" t="s">
        <v>19</v>
      </c>
      <c r="G361" s="18"/>
      <c r="H361" s="33">
        <v>8000</v>
      </c>
      <c r="I361" s="33">
        <f t="shared" si="25"/>
        <v>0</v>
      </c>
      <c r="J361" s="32">
        <f t="shared" si="24"/>
        <v>8000</v>
      </c>
    </row>
    <row r="362" spans="1:11" x14ac:dyDescent="0.2">
      <c r="B362" s="8" t="s">
        <v>111</v>
      </c>
      <c r="C362" s="57">
        <v>43321</v>
      </c>
      <c r="D362" s="57">
        <v>45023</v>
      </c>
      <c r="E362" s="44" t="s">
        <v>103</v>
      </c>
      <c r="F362" s="18" t="s">
        <v>19</v>
      </c>
      <c r="G362" s="18"/>
      <c r="H362" s="33">
        <v>1268.8999999999701</v>
      </c>
      <c r="I362" s="33">
        <f>IF($J$355&gt;=D362,H362,(7485.1/11))</f>
        <v>1268.8999999999701</v>
      </c>
      <c r="J362" s="32">
        <f t="shared" si="24"/>
        <v>0</v>
      </c>
      <c r="K362" s="102"/>
    </row>
    <row r="363" spans="1:11" x14ac:dyDescent="0.2">
      <c r="B363" s="8" t="s">
        <v>111</v>
      </c>
      <c r="C363" s="57">
        <v>43382</v>
      </c>
      <c r="D363" s="57">
        <v>45023</v>
      </c>
      <c r="E363" s="44" t="s">
        <v>103</v>
      </c>
      <c r="F363" s="18" t="s">
        <v>19</v>
      </c>
      <c r="G363" s="18"/>
      <c r="H363" s="33">
        <v>2009.8</v>
      </c>
      <c r="I363" s="33">
        <f>IF($J$355&gt;=D363,H363,(7485.1/11))</f>
        <v>2009.8</v>
      </c>
      <c r="J363" s="32">
        <f t="shared" si="24"/>
        <v>0</v>
      </c>
    </row>
    <row r="364" spans="1:11" x14ac:dyDescent="0.2">
      <c r="B364" s="8" t="s">
        <v>111</v>
      </c>
      <c r="C364" s="57">
        <v>43383</v>
      </c>
      <c r="D364" s="57">
        <v>45023</v>
      </c>
      <c r="E364" s="44" t="s">
        <v>103</v>
      </c>
      <c r="F364" s="18" t="s">
        <v>19</v>
      </c>
      <c r="G364" s="18"/>
      <c r="H364" s="33">
        <v>1492.6</v>
      </c>
      <c r="I364" s="33">
        <f>IF($J$355&gt;=D364,H364,(7485.1/11))</f>
        <v>1492.6</v>
      </c>
      <c r="J364" s="32">
        <f t="shared" si="24"/>
        <v>0</v>
      </c>
    </row>
    <row r="365" spans="1:11" x14ac:dyDescent="0.2">
      <c r="B365" s="8" t="s">
        <v>111</v>
      </c>
      <c r="C365" s="57">
        <v>43413</v>
      </c>
      <c r="D365" s="57">
        <v>45023</v>
      </c>
      <c r="E365" s="44" t="s">
        <v>103</v>
      </c>
      <c r="F365" s="18" t="s">
        <v>19</v>
      </c>
      <c r="G365" s="18"/>
      <c r="H365" s="33">
        <v>2000</v>
      </c>
      <c r="I365" s="33">
        <f>IF($J$355&gt;=D365,H365,(7485.1/11))</f>
        <v>2000</v>
      </c>
      <c r="J365" s="32">
        <f t="shared" si="24"/>
        <v>0</v>
      </c>
    </row>
    <row r="366" spans="1:11" x14ac:dyDescent="0.2">
      <c r="B366" s="8" t="s">
        <v>111</v>
      </c>
      <c r="C366" s="57">
        <v>43413</v>
      </c>
      <c r="D366" s="57">
        <v>45023</v>
      </c>
      <c r="E366" s="44" t="s">
        <v>103</v>
      </c>
      <c r="F366" s="18" t="s">
        <v>19</v>
      </c>
      <c r="G366" s="18"/>
      <c r="H366" s="33">
        <v>2600</v>
      </c>
      <c r="I366" s="33">
        <f>IF($J$355&gt;=D366,H366,(7485.1/11))</f>
        <v>2600</v>
      </c>
      <c r="J366" s="32">
        <f t="shared" si="24"/>
        <v>0</v>
      </c>
    </row>
    <row r="367" spans="1:11" x14ac:dyDescent="0.2">
      <c r="B367" s="21"/>
      <c r="C367" s="57"/>
      <c r="D367" s="57"/>
      <c r="E367" s="44"/>
      <c r="F367" s="18"/>
      <c r="G367" s="18"/>
      <c r="H367" s="33"/>
      <c r="I367" s="33"/>
      <c r="J367" s="32"/>
    </row>
    <row r="368" spans="1:11" ht="13.5" thickBot="1" x14ac:dyDescent="0.25">
      <c r="B368" s="59"/>
      <c r="C368" s="59"/>
      <c r="D368" s="59"/>
      <c r="E368" s="59"/>
      <c r="F368" s="59"/>
      <c r="G368" s="59"/>
      <c r="H368" s="59"/>
      <c r="I368" s="59"/>
      <c r="J368" s="59"/>
    </row>
    <row r="369" spans="1:10" x14ac:dyDescent="0.2">
      <c r="B369" s="21"/>
      <c r="C369" s="77"/>
      <c r="D369" s="78"/>
      <c r="E369" s="20"/>
      <c r="F369" s="18"/>
      <c r="G369" s="18"/>
      <c r="H369" s="33"/>
      <c r="I369" s="33"/>
      <c r="J369" s="32"/>
    </row>
    <row r="370" spans="1:10" x14ac:dyDescent="0.2">
      <c r="B370" s="11" t="s">
        <v>23</v>
      </c>
      <c r="C370" s="12"/>
      <c r="D370" s="12"/>
      <c r="E370" s="12"/>
      <c r="F370" s="12"/>
      <c r="G370" s="13"/>
      <c r="H370" s="12"/>
      <c r="I370" s="12"/>
      <c r="J370" s="12"/>
    </row>
    <row r="371" spans="1:10" ht="13.5" thickBot="1" x14ac:dyDescent="0.25">
      <c r="B371" s="79"/>
      <c r="C371" s="79"/>
      <c r="D371" s="79"/>
      <c r="F371" s="80"/>
      <c r="G371" s="82"/>
    </row>
    <row r="372" spans="1:10" ht="13.5" thickTop="1" x14ac:dyDescent="0.2">
      <c r="G372" s="50"/>
    </row>
    <row r="375" spans="1:10" ht="15" x14ac:dyDescent="0.25">
      <c r="B375" s="93" t="s">
        <v>112</v>
      </c>
      <c r="C375" s="93"/>
      <c r="D375" s="93"/>
      <c r="E375" s="93"/>
      <c r="F375" s="93"/>
      <c r="G375" s="93"/>
      <c r="H375" s="93"/>
      <c r="I375" s="93"/>
      <c r="J375" s="93"/>
    </row>
    <row r="376" spans="1:10" x14ac:dyDescent="0.2">
      <c r="B376" s="73"/>
      <c r="C376" s="73"/>
      <c r="D376" s="73"/>
      <c r="J376" s="74"/>
    </row>
    <row r="377" spans="1:10" x14ac:dyDescent="0.2">
      <c r="B377" s="94" t="s">
        <v>4</v>
      </c>
      <c r="C377" s="94"/>
      <c r="D377" s="94"/>
      <c r="E377" s="94"/>
      <c r="F377" s="94"/>
      <c r="G377" s="94"/>
      <c r="H377" s="94"/>
      <c r="I377" s="94"/>
      <c r="J377" s="94"/>
    </row>
    <row r="378" spans="1:10" ht="25.5" x14ac:dyDescent="0.2">
      <c r="B378" s="95" t="s">
        <v>0</v>
      </c>
      <c r="C378" s="95" t="s">
        <v>31</v>
      </c>
      <c r="D378" s="95" t="s">
        <v>1</v>
      </c>
      <c r="E378" s="95" t="s">
        <v>8</v>
      </c>
      <c r="F378" s="95" t="s">
        <v>18</v>
      </c>
      <c r="G378" s="95" t="s">
        <v>14</v>
      </c>
      <c r="H378" s="95" t="s">
        <v>6</v>
      </c>
      <c r="I378" s="95" t="s">
        <v>2</v>
      </c>
      <c r="J378" s="84" t="s">
        <v>3</v>
      </c>
    </row>
    <row r="379" spans="1:10" x14ac:dyDescent="0.2">
      <c r="B379" s="96"/>
      <c r="C379" s="96"/>
      <c r="D379" s="96"/>
      <c r="E379" s="96"/>
      <c r="F379" s="96"/>
      <c r="G379" s="96"/>
      <c r="H379" s="96"/>
      <c r="I379" s="96"/>
      <c r="J379" s="85">
        <f>J355</f>
        <v>45716</v>
      </c>
    </row>
    <row r="380" spans="1:10" x14ac:dyDescent="0.2">
      <c r="B380" s="2"/>
      <c r="C380" s="2"/>
      <c r="D380" s="2"/>
      <c r="E380" s="2"/>
      <c r="F380" s="2"/>
      <c r="G380" s="76"/>
      <c r="H380" s="2"/>
      <c r="I380" s="2"/>
      <c r="J380" s="10"/>
    </row>
    <row r="381" spans="1:10" ht="15.75" thickBot="1" x14ac:dyDescent="0.3">
      <c r="A381" s="23" t="s">
        <v>153</v>
      </c>
      <c r="B381" s="2"/>
      <c r="C381" s="2"/>
      <c r="D381" s="2"/>
      <c r="E381" s="14" t="s">
        <v>22</v>
      </c>
      <c r="F381" s="5"/>
      <c r="G381" s="15">
        <v>190090.39</v>
      </c>
      <c r="H381" s="15">
        <f>SUM(H382:H404)</f>
        <v>87375.9</v>
      </c>
      <c r="I381" s="15">
        <f>SUM(I382:I404)</f>
        <v>10900</v>
      </c>
      <c r="J381" s="15">
        <f>SUM(J382:J404)</f>
        <v>76475.899999999994</v>
      </c>
    </row>
    <row r="382" spans="1:10" ht="13.5" thickTop="1" x14ac:dyDescent="0.2">
      <c r="B382" s="8" t="s">
        <v>113</v>
      </c>
      <c r="C382" s="57">
        <v>43473</v>
      </c>
      <c r="D382" s="57">
        <v>45302</v>
      </c>
      <c r="E382" s="44" t="s">
        <v>115</v>
      </c>
      <c r="F382" s="18" t="s">
        <v>19</v>
      </c>
      <c r="G382" s="18"/>
      <c r="H382" s="33">
        <v>1500</v>
      </c>
      <c r="I382" s="33">
        <f>IF($J$379&gt;=D382,H382,(2357.7/4))</f>
        <v>1500</v>
      </c>
      <c r="J382" s="32">
        <f>H382-I382</f>
        <v>0</v>
      </c>
    </row>
    <row r="383" spans="1:10" x14ac:dyDescent="0.2">
      <c r="B383" s="8" t="s">
        <v>114</v>
      </c>
      <c r="C383" s="57">
        <v>43473</v>
      </c>
      <c r="D383" s="57">
        <v>48955</v>
      </c>
      <c r="E383" s="44" t="s">
        <v>86</v>
      </c>
      <c r="F383" s="18" t="s">
        <v>19</v>
      </c>
      <c r="G383" s="18"/>
      <c r="H383" s="33">
        <v>3500</v>
      </c>
      <c r="I383" s="33">
        <f t="shared" ref="I383:I404" si="26">IF($J$379&gt;=D383,H383,0)</f>
        <v>0</v>
      </c>
      <c r="J383" s="32">
        <f t="shared" ref="J383:J404" si="27">H383-I383</f>
        <v>3500</v>
      </c>
    </row>
    <row r="384" spans="1:10" x14ac:dyDescent="0.2">
      <c r="B384" s="8" t="s">
        <v>113</v>
      </c>
      <c r="C384" s="57">
        <v>43474</v>
      </c>
      <c r="D384" s="57">
        <v>45302</v>
      </c>
      <c r="E384" s="44" t="s">
        <v>115</v>
      </c>
      <c r="F384" s="18" t="s">
        <v>19</v>
      </c>
      <c r="G384" s="18"/>
      <c r="H384" s="33">
        <v>1485.4</v>
      </c>
      <c r="I384" s="33">
        <f>IF($J$379&gt;=D384,H384,(2357.7/4))</f>
        <v>1485.4</v>
      </c>
      <c r="J384" s="32">
        <f t="shared" si="27"/>
        <v>0</v>
      </c>
    </row>
    <row r="385" spans="1:10" x14ac:dyDescent="0.2">
      <c r="B385" s="8" t="s">
        <v>114</v>
      </c>
      <c r="C385" s="57">
        <v>43474</v>
      </c>
      <c r="D385" s="57">
        <v>48955</v>
      </c>
      <c r="E385" s="44" t="s">
        <v>86</v>
      </c>
      <c r="F385" s="18" t="s">
        <v>19</v>
      </c>
      <c r="G385" s="18"/>
      <c r="H385" s="33">
        <v>17022.3</v>
      </c>
      <c r="I385" s="33">
        <f t="shared" si="26"/>
        <v>0</v>
      </c>
      <c r="J385" s="32">
        <f t="shared" si="27"/>
        <v>17022.3</v>
      </c>
    </row>
    <row r="386" spans="1:10" x14ac:dyDescent="0.2">
      <c r="B386" s="8" t="s">
        <v>113</v>
      </c>
      <c r="C386" s="57">
        <v>43501</v>
      </c>
      <c r="D386" s="57">
        <v>45302</v>
      </c>
      <c r="E386" s="44" t="s">
        <v>115</v>
      </c>
      <c r="F386" s="18" t="s">
        <v>19</v>
      </c>
      <c r="G386" s="18"/>
      <c r="H386" s="33">
        <v>1000</v>
      </c>
      <c r="I386" s="33">
        <f>IF($J$379&gt;=D386,H386,(2357.7/4))</f>
        <v>1000</v>
      </c>
      <c r="J386" s="32">
        <f t="shared" si="27"/>
        <v>0</v>
      </c>
    </row>
    <row r="387" spans="1:10" x14ac:dyDescent="0.2">
      <c r="B387" s="8" t="s">
        <v>114</v>
      </c>
      <c r="C387" s="57">
        <v>43501</v>
      </c>
      <c r="D387" s="57">
        <v>48955</v>
      </c>
      <c r="E387" s="44" t="s">
        <v>86</v>
      </c>
      <c r="F387" s="18" t="s">
        <v>19</v>
      </c>
      <c r="G387" s="18"/>
      <c r="H387" s="33">
        <v>4000</v>
      </c>
      <c r="I387" s="33">
        <f t="shared" si="26"/>
        <v>0</v>
      </c>
      <c r="J387" s="32">
        <f t="shared" si="27"/>
        <v>4000</v>
      </c>
    </row>
    <row r="388" spans="1:10" x14ac:dyDescent="0.2">
      <c r="B388" s="8" t="s">
        <v>113</v>
      </c>
      <c r="C388" s="57">
        <v>43502</v>
      </c>
      <c r="D388" s="57">
        <v>45302</v>
      </c>
      <c r="E388" s="44" t="s">
        <v>115</v>
      </c>
      <c r="F388" s="18" t="s">
        <v>19</v>
      </c>
      <c r="G388" s="18"/>
      <c r="H388" s="33">
        <v>6296.6</v>
      </c>
      <c r="I388" s="33">
        <f>IF($J$379&gt;=D388,H388,(2357.7/4))</f>
        <v>6296.6</v>
      </c>
      <c r="J388" s="32">
        <f t="shared" si="27"/>
        <v>0</v>
      </c>
    </row>
    <row r="389" spans="1:10" x14ac:dyDescent="0.2">
      <c r="B389" s="8" t="s">
        <v>114</v>
      </c>
      <c r="C389" s="57">
        <v>43502</v>
      </c>
      <c r="D389" s="57">
        <v>48955</v>
      </c>
      <c r="E389" s="44" t="s">
        <v>86</v>
      </c>
      <c r="F389" s="18" t="s">
        <v>19</v>
      </c>
      <c r="G389" s="18"/>
      <c r="H389" s="33">
        <v>7477.7</v>
      </c>
      <c r="I389" s="33">
        <f t="shared" si="26"/>
        <v>0</v>
      </c>
      <c r="J389" s="32">
        <f t="shared" si="27"/>
        <v>7477.7</v>
      </c>
    </row>
    <row r="390" spans="1:10" x14ac:dyDescent="0.2">
      <c r="B390" s="8" t="s">
        <v>113</v>
      </c>
      <c r="C390" s="57">
        <v>43557</v>
      </c>
      <c r="D390" s="57">
        <v>45302</v>
      </c>
      <c r="E390" s="44" t="s">
        <v>115</v>
      </c>
      <c r="F390" s="18" t="s">
        <v>19</v>
      </c>
      <c r="G390" s="18"/>
      <c r="H390" s="33">
        <v>500</v>
      </c>
      <c r="I390" s="33">
        <f>IF($J$379&gt;=D390,H390,500)</f>
        <v>500</v>
      </c>
      <c r="J390" s="32">
        <f t="shared" si="27"/>
        <v>0</v>
      </c>
    </row>
    <row r="391" spans="1:10" x14ac:dyDescent="0.2">
      <c r="B391" s="8" t="s">
        <v>116</v>
      </c>
      <c r="C391" s="57">
        <v>43557</v>
      </c>
      <c r="D391" s="57">
        <v>46976</v>
      </c>
      <c r="E391" s="44" t="s">
        <v>110</v>
      </c>
      <c r="F391" s="18" t="s">
        <v>19</v>
      </c>
      <c r="G391" s="18"/>
      <c r="H391" s="33">
        <v>5500</v>
      </c>
      <c r="I391" s="33">
        <f t="shared" si="26"/>
        <v>0</v>
      </c>
      <c r="J391" s="32">
        <f t="shared" si="27"/>
        <v>5500</v>
      </c>
    </row>
    <row r="392" spans="1:10" x14ac:dyDescent="0.2">
      <c r="B392" s="8" t="s">
        <v>113</v>
      </c>
      <c r="C392" s="57">
        <v>43558</v>
      </c>
      <c r="D392" s="57">
        <v>45302</v>
      </c>
      <c r="E392" s="44" t="s">
        <v>115</v>
      </c>
      <c r="F392" s="18" t="s">
        <v>19</v>
      </c>
      <c r="G392" s="18"/>
      <c r="H392" s="33">
        <v>118</v>
      </c>
      <c r="I392" s="33">
        <f>IF($J$379&gt;=D392,H392,118)</f>
        <v>118</v>
      </c>
      <c r="J392" s="32">
        <f t="shared" si="27"/>
        <v>0</v>
      </c>
    </row>
    <row r="393" spans="1:10" x14ac:dyDescent="0.2">
      <c r="B393" s="21" t="s">
        <v>116</v>
      </c>
      <c r="C393" s="57">
        <v>43558</v>
      </c>
      <c r="D393" s="57">
        <v>46976</v>
      </c>
      <c r="E393" s="44" t="s">
        <v>110</v>
      </c>
      <c r="F393" s="18" t="s">
        <v>19</v>
      </c>
      <c r="G393" s="18"/>
      <c r="H393" s="33">
        <v>3000</v>
      </c>
      <c r="I393" s="33">
        <f t="shared" si="26"/>
        <v>0</v>
      </c>
      <c r="J393" s="32">
        <f t="shared" si="27"/>
        <v>3000</v>
      </c>
    </row>
    <row r="394" spans="1:10" x14ac:dyDescent="0.2">
      <c r="B394" s="21" t="s">
        <v>116</v>
      </c>
      <c r="C394" s="57">
        <v>43592</v>
      </c>
      <c r="D394" s="57">
        <v>46976</v>
      </c>
      <c r="E394" s="44" t="s">
        <v>110</v>
      </c>
      <c r="F394" s="18" t="s">
        <v>19</v>
      </c>
      <c r="G394" s="18"/>
      <c r="H394" s="33">
        <v>6500</v>
      </c>
      <c r="I394" s="33">
        <f t="shared" si="26"/>
        <v>0</v>
      </c>
      <c r="J394" s="32">
        <f t="shared" si="27"/>
        <v>6500</v>
      </c>
    </row>
    <row r="395" spans="1:10" x14ac:dyDescent="0.2">
      <c r="B395" s="21" t="s">
        <v>116</v>
      </c>
      <c r="C395" s="57">
        <v>43593</v>
      </c>
      <c r="D395" s="57">
        <v>46976</v>
      </c>
      <c r="E395" s="44" t="s">
        <v>110</v>
      </c>
      <c r="F395" s="18" t="s">
        <v>19</v>
      </c>
      <c r="G395" s="18"/>
      <c r="H395" s="33">
        <v>5500</v>
      </c>
      <c r="I395" s="33">
        <f t="shared" si="26"/>
        <v>0</v>
      </c>
      <c r="J395" s="32">
        <f t="shared" si="27"/>
        <v>5500</v>
      </c>
    </row>
    <row r="396" spans="1:10" x14ac:dyDescent="0.2">
      <c r="B396" s="21" t="s">
        <v>116</v>
      </c>
      <c r="C396" s="57">
        <v>43620</v>
      </c>
      <c r="D396" s="57">
        <v>46976</v>
      </c>
      <c r="E396" s="44" t="s">
        <v>110</v>
      </c>
      <c r="F396" s="18" t="s">
        <v>19</v>
      </c>
      <c r="G396" s="18"/>
      <c r="H396" s="33">
        <v>1500</v>
      </c>
      <c r="I396" s="33">
        <f t="shared" si="26"/>
        <v>0</v>
      </c>
      <c r="J396" s="32">
        <f t="shared" si="27"/>
        <v>1500</v>
      </c>
    </row>
    <row r="397" spans="1:10" x14ac:dyDescent="0.2">
      <c r="B397" s="21" t="s">
        <v>116</v>
      </c>
      <c r="C397" s="57">
        <v>43648</v>
      </c>
      <c r="D397" s="57">
        <v>46976</v>
      </c>
      <c r="E397" s="44" t="s">
        <v>110</v>
      </c>
      <c r="F397" s="18" t="s">
        <v>19</v>
      </c>
      <c r="G397" s="18"/>
      <c r="H397" s="33">
        <v>1000</v>
      </c>
      <c r="I397" s="33">
        <f t="shared" si="26"/>
        <v>0</v>
      </c>
      <c r="J397" s="32">
        <f t="shared" si="27"/>
        <v>1000</v>
      </c>
    </row>
    <row r="398" spans="1:10" x14ac:dyDescent="0.2">
      <c r="B398" s="21" t="s">
        <v>116</v>
      </c>
      <c r="C398" s="57">
        <v>43711</v>
      </c>
      <c r="D398" s="57">
        <v>46976</v>
      </c>
      <c r="E398" s="44" t="s">
        <v>110</v>
      </c>
      <c r="F398" s="18" t="s">
        <v>19</v>
      </c>
      <c r="G398" s="18"/>
      <c r="H398" s="33">
        <v>3000</v>
      </c>
      <c r="I398" s="33">
        <f t="shared" si="26"/>
        <v>0</v>
      </c>
      <c r="J398" s="32">
        <f t="shared" si="27"/>
        <v>3000</v>
      </c>
    </row>
    <row r="399" spans="1:10" x14ac:dyDescent="0.2">
      <c r="A399" s="23" t="s">
        <v>117</v>
      </c>
      <c r="B399" s="21" t="s">
        <v>116</v>
      </c>
      <c r="C399" s="57">
        <v>43712</v>
      </c>
      <c r="D399" s="57">
        <v>46976</v>
      </c>
      <c r="E399" s="44" t="s">
        <v>110</v>
      </c>
      <c r="F399" s="18" t="s">
        <v>19</v>
      </c>
      <c r="G399" s="18"/>
      <c r="H399" s="33">
        <v>1160.2</v>
      </c>
      <c r="I399" s="33">
        <f t="shared" si="26"/>
        <v>0</v>
      </c>
      <c r="J399" s="32">
        <f t="shared" si="27"/>
        <v>1160.2</v>
      </c>
    </row>
    <row r="400" spans="1:10" x14ac:dyDescent="0.2">
      <c r="B400" s="21" t="s">
        <v>118</v>
      </c>
      <c r="C400" s="57">
        <v>43774</v>
      </c>
      <c r="D400" s="57">
        <v>47430</v>
      </c>
      <c r="E400" s="44" t="s">
        <v>110</v>
      </c>
      <c r="F400" s="18" t="s">
        <v>19</v>
      </c>
      <c r="G400" s="18"/>
      <c r="H400" s="33">
        <v>5000</v>
      </c>
      <c r="I400" s="33">
        <f t="shared" si="26"/>
        <v>0</v>
      </c>
      <c r="J400" s="32">
        <f t="shared" si="27"/>
        <v>5000</v>
      </c>
    </row>
    <row r="401" spans="2:10" x14ac:dyDescent="0.2">
      <c r="B401" s="21" t="s">
        <v>118</v>
      </c>
      <c r="C401" s="57">
        <v>43795</v>
      </c>
      <c r="D401" s="57">
        <v>47430</v>
      </c>
      <c r="E401" s="44" t="s">
        <v>110</v>
      </c>
      <c r="F401" s="18" t="s">
        <v>19</v>
      </c>
      <c r="G401" s="18"/>
      <c r="H401" s="33">
        <v>5500</v>
      </c>
      <c r="I401" s="33">
        <f t="shared" si="26"/>
        <v>0</v>
      </c>
      <c r="J401" s="32">
        <f t="shared" si="27"/>
        <v>5500</v>
      </c>
    </row>
    <row r="402" spans="2:10" x14ac:dyDescent="0.2">
      <c r="B402" s="21" t="s">
        <v>118</v>
      </c>
      <c r="C402" s="57">
        <v>43796</v>
      </c>
      <c r="D402" s="57">
        <v>47430</v>
      </c>
      <c r="E402" s="44" t="s">
        <v>110</v>
      </c>
      <c r="F402" s="18" t="s">
        <v>19</v>
      </c>
      <c r="G402" s="18"/>
      <c r="H402" s="33">
        <v>4300</v>
      </c>
      <c r="I402" s="33">
        <f t="shared" si="26"/>
        <v>0</v>
      </c>
      <c r="J402" s="32">
        <f t="shared" si="27"/>
        <v>4300</v>
      </c>
    </row>
    <row r="403" spans="2:10" x14ac:dyDescent="0.2">
      <c r="B403" s="21" t="s">
        <v>118</v>
      </c>
      <c r="C403" s="57">
        <v>43809</v>
      </c>
      <c r="D403" s="57">
        <v>47430</v>
      </c>
      <c r="E403" s="44" t="s">
        <v>110</v>
      </c>
      <c r="F403" s="18" t="s">
        <v>19</v>
      </c>
      <c r="G403" s="18"/>
      <c r="H403" s="33">
        <v>2000</v>
      </c>
      <c r="I403" s="33">
        <f t="shared" si="26"/>
        <v>0</v>
      </c>
      <c r="J403" s="32">
        <f t="shared" si="27"/>
        <v>2000</v>
      </c>
    </row>
    <row r="404" spans="2:10" x14ac:dyDescent="0.2">
      <c r="B404" s="21" t="s">
        <v>118</v>
      </c>
      <c r="C404" s="57">
        <v>43810</v>
      </c>
      <c r="D404" s="57">
        <v>47430</v>
      </c>
      <c r="E404" s="44" t="s">
        <v>110</v>
      </c>
      <c r="F404" s="18" t="s">
        <v>19</v>
      </c>
      <c r="G404" s="18"/>
      <c r="H404" s="33">
        <v>515.70000000000005</v>
      </c>
      <c r="I404" s="33">
        <f t="shared" si="26"/>
        <v>0</v>
      </c>
      <c r="J404" s="32">
        <f t="shared" si="27"/>
        <v>515.70000000000005</v>
      </c>
    </row>
    <row r="405" spans="2:10" x14ac:dyDescent="0.2">
      <c r="B405" s="21"/>
      <c r="C405" s="57"/>
      <c r="D405" s="57"/>
      <c r="E405" s="44"/>
      <c r="F405" s="18"/>
      <c r="G405" s="18"/>
      <c r="H405" s="33"/>
      <c r="I405" s="33"/>
      <c r="J405" s="32"/>
    </row>
    <row r="406" spans="2:10" ht="13.5" thickBot="1" x14ac:dyDescent="0.25">
      <c r="B406" s="59"/>
      <c r="C406" s="59"/>
      <c r="D406" s="59"/>
      <c r="E406" s="59"/>
      <c r="F406" s="59"/>
      <c r="G406" s="59"/>
      <c r="H406" s="59"/>
      <c r="I406" s="59"/>
      <c r="J406" s="59"/>
    </row>
    <row r="407" spans="2:10" x14ac:dyDescent="0.2">
      <c r="B407" s="21"/>
      <c r="C407" s="77"/>
      <c r="D407" s="78"/>
      <c r="E407" s="20"/>
      <c r="F407" s="18"/>
      <c r="G407" s="18"/>
      <c r="H407" s="33"/>
      <c r="I407" s="33"/>
      <c r="J407" s="32"/>
    </row>
    <row r="408" spans="2:10" x14ac:dyDescent="0.2">
      <c r="B408" s="11" t="s">
        <v>23</v>
      </c>
      <c r="C408" s="12"/>
      <c r="D408" s="12"/>
      <c r="E408" s="12"/>
      <c r="F408" s="12"/>
      <c r="G408" s="13"/>
      <c r="H408" s="12"/>
      <c r="I408" s="12"/>
      <c r="J408" s="12"/>
    </row>
    <row r="409" spans="2:10" ht="13.5" thickBot="1" x14ac:dyDescent="0.25">
      <c r="B409" s="79"/>
      <c r="C409" s="79"/>
      <c r="D409" s="79"/>
      <c r="F409" s="80"/>
      <c r="G409" s="82"/>
    </row>
    <row r="410" spans="2:10" ht="13.5" thickTop="1" x14ac:dyDescent="0.2"/>
    <row r="412" spans="2:10" ht="15" x14ac:dyDescent="0.25">
      <c r="B412" s="93" t="s">
        <v>145</v>
      </c>
      <c r="C412" s="93"/>
      <c r="D412" s="93"/>
      <c r="E412" s="93"/>
      <c r="F412" s="93"/>
      <c r="G412" s="93"/>
      <c r="H412" s="93"/>
      <c r="I412" s="93"/>
      <c r="J412" s="93"/>
    </row>
    <row r="413" spans="2:10" x14ac:dyDescent="0.2">
      <c r="B413" s="73"/>
      <c r="C413" s="73"/>
      <c r="D413" s="73"/>
      <c r="J413" s="74"/>
    </row>
    <row r="414" spans="2:10" x14ac:dyDescent="0.2">
      <c r="B414" s="94" t="s">
        <v>4</v>
      </c>
      <c r="C414" s="94"/>
      <c r="D414" s="94"/>
      <c r="E414" s="94"/>
      <c r="F414" s="94"/>
      <c r="G414" s="94"/>
      <c r="H414" s="94"/>
      <c r="I414" s="94"/>
      <c r="J414" s="94"/>
    </row>
    <row r="415" spans="2:10" ht="25.5" x14ac:dyDescent="0.2">
      <c r="B415" s="95" t="s">
        <v>0</v>
      </c>
      <c r="C415" s="95" t="s">
        <v>31</v>
      </c>
      <c r="D415" s="95" t="s">
        <v>1</v>
      </c>
      <c r="E415" s="95" t="s">
        <v>8</v>
      </c>
      <c r="F415" s="95" t="s">
        <v>18</v>
      </c>
      <c r="G415" s="95" t="s">
        <v>14</v>
      </c>
      <c r="H415" s="95" t="s">
        <v>6</v>
      </c>
      <c r="I415" s="95" t="s">
        <v>2</v>
      </c>
      <c r="J415" s="84" t="s">
        <v>3</v>
      </c>
    </row>
    <row r="416" spans="2:10" x14ac:dyDescent="0.2">
      <c r="B416" s="96"/>
      <c r="C416" s="96"/>
      <c r="D416" s="96"/>
      <c r="E416" s="96"/>
      <c r="F416" s="96"/>
      <c r="G416" s="96"/>
      <c r="H416" s="96"/>
      <c r="I416" s="96"/>
      <c r="J416" s="85">
        <f>J379</f>
        <v>45716</v>
      </c>
    </row>
    <row r="417" spans="1:11" x14ac:dyDescent="0.2">
      <c r="B417" s="2"/>
      <c r="C417" s="2"/>
      <c r="D417" s="2"/>
      <c r="E417" s="2"/>
      <c r="F417" s="2"/>
      <c r="G417" s="76"/>
      <c r="H417" s="2"/>
      <c r="I417" s="2"/>
      <c r="J417" s="10"/>
    </row>
    <row r="418" spans="1:11" ht="15.75" thickBot="1" x14ac:dyDescent="0.3">
      <c r="A418" s="23" t="s">
        <v>153</v>
      </c>
      <c r="B418" s="2"/>
      <c r="C418" s="2"/>
      <c r="D418" s="2"/>
      <c r="E418" s="14" t="s">
        <v>22</v>
      </c>
      <c r="F418" s="5" t="s">
        <v>19</v>
      </c>
      <c r="G418" s="15">
        <v>599525.41791399999</v>
      </c>
      <c r="H418" s="15">
        <f>SUM(H419:H434)</f>
        <v>96325.1</v>
      </c>
      <c r="I418" s="15">
        <f t="shared" ref="I418" si="28">SUM(I419:I434)</f>
        <v>0</v>
      </c>
      <c r="J418" s="15">
        <f>SUM(J419:J434)</f>
        <v>96325.1</v>
      </c>
    </row>
    <row r="419" spans="1:11" ht="13.5" thickTop="1" x14ac:dyDescent="0.2">
      <c r="B419" s="21" t="s">
        <v>125</v>
      </c>
      <c r="C419" s="57">
        <v>43846</v>
      </c>
      <c r="D419" s="57">
        <v>47494</v>
      </c>
      <c r="E419" s="44" t="s">
        <v>126</v>
      </c>
      <c r="F419" s="18" t="s">
        <v>19</v>
      </c>
      <c r="G419" s="18"/>
      <c r="H419" s="33">
        <v>1408</v>
      </c>
      <c r="I419" s="33">
        <f>IF($J$416&gt;=D419,H419,0)</f>
        <v>0</v>
      </c>
      <c r="J419" s="32">
        <f t="shared" ref="J419:J434" si="29">H419-I419</f>
        <v>1408</v>
      </c>
    </row>
    <row r="420" spans="1:11" x14ac:dyDescent="0.2">
      <c r="B420" s="21" t="s">
        <v>125</v>
      </c>
      <c r="C420" s="57">
        <v>43847</v>
      </c>
      <c r="D420" s="57">
        <v>47494</v>
      </c>
      <c r="E420" s="44" t="s">
        <v>126</v>
      </c>
      <c r="F420" s="18" t="s">
        <v>19</v>
      </c>
      <c r="G420" s="18"/>
      <c r="H420" s="33">
        <v>4000</v>
      </c>
      <c r="I420" s="33">
        <f>IF($J$416&gt;=D420,H420,0)</f>
        <v>0</v>
      </c>
      <c r="J420" s="32">
        <f t="shared" si="29"/>
        <v>4000</v>
      </c>
    </row>
    <row r="421" spans="1:11" x14ac:dyDescent="0.2">
      <c r="B421" s="21" t="s">
        <v>125</v>
      </c>
      <c r="C421" s="57">
        <v>43865</v>
      </c>
      <c r="D421" s="57">
        <v>47494</v>
      </c>
      <c r="E421" s="44" t="s">
        <v>126</v>
      </c>
      <c r="F421" s="18" t="s">
        <v>19</v>
      </c>
      <c r="G421" s="18"/>
      <c r="H421" s="33">
        <v>3000</v>
      </c>
      <c r="I421" s="33">
        <f>IF($J$416&gt;=D421,H421,0)</f>
        <v>0</v>
      </c>
      <c r="J421" s="32">
        <f t="shared" si="29"/>
        <v>3000</v>
      </c>
    </row>
    <row r="422" spans="1:11" x14ac:dyDescent="0.2">
      <c r="B422" s="21" t="s">
        <v>125</v>
      </c>
      <c r="C422" s="57">
        <v>43866</v>
      </c>
      <c r="D422" s="57">
        <v>47494</v>
      </c>
      <c r="E422" s="44" t="s">
        <v>126</v>
      </c>
      <c r="F422" s="18" t="s">
        <v>19</v>
      </c>
      <c r="G422" s="18"/>
      <c r="H422" s="33">
        <v>1050</v>
      </c>
      <c r="I422" s="33">
        <f t="shared" ref="I422" si="30">IF($J$416&gt;=D422,H422,0)</f>
        <v>0</v>
      </c>
      <c r="J422" s="32">
        <f t="shared" si="29"/>
        <v>1050</v>
      </c>
      <c r="K422" s="102"/>
    </row>
    <row r="423" spans="1:11" x14ac:dyDescent="0.2">
      <c r="B423" s="21" t="s">
        <v>127</v>
      </c>
      <c r="C423" s="57">
        <v>43893</v>
      </c>
      <c r="D423" s="57">
        <v>51141</v>
      </c>
      <c r="E423" s="44" t="s">
        <v>128</v>
      </c>
      <c r="F423" s="18" t="s">
        <v>19</v>
      </c>
      <c r="G423" s="18"/>
      <c r="H423" s="33">
        <f>3813800000/1000000</f>
        <v>3813.8</v>
      </c>
      <c r="I423" s="33">
        <f t="shared" ref="I423:I424" si="31">IF($J$416&gt;=D423,H423,0)</f>
        <v>0</v>
      </c>
      <c r="J423" s="32">
        <f t="shared" si="29"/>
        <v>3813.8</v>
      </c>
      <c r="K423" s="102"/>
    </row>
    <row r="424" spans="1:11" x14ac:dyDescent="0.2">
      <c r="B424" s="21" t="s">
        <v>127</v>
      </c>
      <c r="C424" s="57">
        <v>43893</v>
      </c>
      <c r="D424" s="57">
        <v>51141</v>
      </c>
      <c r="E424" s="44" t="s">
        <v>128</v>
      </c>
      <c r="F424" s="18" t="s">
        <v>19</v>
      </c>
      <c r="G424" s="18"/>
      <c r="H424" s="33">
        <f>5000000000/1000000</f>
        <v>5000</v>
      </c>
      <c r="I424" s="33">
        <f t="shared" si="31"/>
        <v>0</v>
      </c>
      <c r="J424" s="32">
        <f t="shared" si="29"/>
        <v>5000</v>
      </c>
    </row>
    <row r="425" spans="1:11" x14ac:dyDescent="0.2">
      <c r="B425" s="21" t="s">
        <v>132</v>
      </c>
      <c r="C425" s="57">
        <v>43952</v>
      </c>
      <c r="D425" s="57">
        <v>47542</v>
      </c>
      <c r="E425" s="44" t="s">
        <v>135</v>
      </c>
      <c r="F425" s="18" t="s">
        <v>19</v>
      </c>
      <c r="G425" s="18"/>
      <c r="H425" s="33">
        <v>10000</v>
      </c>
      <c r="I425" s="33">
        <f t="shared" ref="I425:I432" si="32">IF($J$416&gt;=D425,H425,0)</f>
        <v>0</v>
      </c>
      <c r="J425" s="32">
        <f t="shared" si="29"/>
        <v>10000</v>
      </c>
    </row>
    <row r="426" spans="1:11" x14ac:dyDescent="0.2">
      <c r="B426" s="21" t="s">
        <v>133</v>
      </c>
      <c r="C426" s="57">
        <v>43952</v>
      </c>
      <c r="D426" s="57">
        <v>49368</v>
      </c>
      <c r="E426" s="86" t="s">
        <v>136</v>
      </c>
      <c r="F426" s="18" t="s">
        <v>19</v>
      </c>
      <c r="G426" s="18"/>
      <c r="H426" s="33">
        <v>10000</v>
      </c>
      <c r="I426" s="33">
        <f t="shared" si="32"/>
        <v>0</v>
      </c>
      <c r="J426" s="32">
        <f t="shared" si="29"/>
        <v>10000</v>
      </c>
    </row>
    <row r="427" spans="1:11" x14ac:dyDescent="0.2">
      <c r="B427" s="21" t="s">
        <v>134</v>
      </c>
      <c r="C427" s="57">
        <v>43952</v>
      </c>
      <c r="D427" s="57">
        <v>51194</v>
      </c>
      <c r="E427" s="86" t="s">
        <v>137</v>
      </c>
      <c r="F427" s="18" t="s">
        <v>19</v>
      </c>
      <c r="G427" s="18"/>
      <c r="H427" s="33">
        <v>10000</v>
      </c>
      <c r="I427" s="33">
        <f t="shared" si="32"/>
        <v>0</v>
      </c>
      <c r="J427" s="32">
        <f t="shared" si="29"/>
        <v>10000</v>
      </c>
    </row>
    <row r="428" spans="1:11" x14ac:dyDescent="0.2">
      <c r="B428" s="21" t="s">
        <v>140</v>
      </c>
      <c r="C428" s="57">
        <v>43952</v>
      </c>
      <c r="D428" s="57">
        <v>51194</v>
      </c>
      <c r="E428" s="86" t="s">
        <v>137</v>
      </c>
      <c r="F428" s="18" t="s">
        <v>19</v>
      </c>
      <c r="G428" s="18"/>
      <c r="H428" s="33">
        <v>10000</v>
      </c>
      <c r="I428" s="33">
        <f t="shared" si="32"/>
        <v>0</v>
      </c>
      <c r="J428" s="32">
        <f t="shared" si="29"/>
        <v>10000</v>
      </c>
    </row>
    <row r="429" spans="1:11" x14ac:dyDescent="0.2">
      <c r="B429" s="21" t="s">
        <v>125</v>
      </c>
      <c r="C429" s="57">
        <v>44047</v>
      </c>
      <c r="D429" s="57">
        <v>47494</v>
      </c>
      <c r="E429" s="44" t="s">
        <v>126</v>
      </c>
      <c r="F429" s="18" t="s">
        <v>19</v>
      </c>
      <c r="G429" s="18"/>
      <c r="H429" s="33">
        <v>2500</v>
      </c>
      <c r="I429" s="33">
        <f t="shared" si="32"/>
        <v>0</v>
      </c>
      <c r="J429" s="32">
        <f t="shared" si="29"/>
        <v>2500</v>
      </c>
    </row>
    <row r="430" spans="1:11" x14ac:dyDescent="0.2">
      <c r="B430" s="21" t="s">
        <v>125</v>
      </c>
      <c r="C430" s="57">
        <v>44048</v>
      </c>
      <c r="D430" s="57">
        <v>47494</v>
      </c>
      <c r="E430" s="44" t="s">
        <v>126</v>
      </c>
      <c r="F430" s="18" t="s">
        <v>19</v>
      </c>
      <c r="G430" s="18"/>
      <c r="H430" s="33">
        <v>2500</v>
      </c>
      <c r="I430" s="33">
        <f t="shared" si="32"/>
        <v>0</v>
      </c>
      <c r="J430" s="32">
        <f t="shared" si="29"/>
        <v>2500</v>
      </c>
    </row>
    <row r="431" spans="1:11" x14ac:dyDescent="0.2">
      <c r="B431" s="21" t="s">
        <v>125</v>
      </c>
      <c r="C431" s="57">
        <v>44075</v>
      </c>
      <c r="D431" s="57">
        <v>47494</v>
      </c>
      <c r="E431" s="44" t="s">
        <v>126</v>
      </c>
      <c r="F431" s="18" t="s">
        <v>19</v>
      </c>
      <c r="G431" s="18"/>
      <c r="H431" s="33">
        <f>2500000000/1000000</f>
        <v>2500</v>
      </c>
      <c r="I431" s="33">
        <f t="shared" si="32"/>
        <v>0</v>
      </c>
      <c r="J431" s="32">
        <f t="shared" si="29"/>
        <v>2500</v>
      </c>
    </row>
    <row r="432" spans="1:11" x14ac:dyDescent="0.2">
      <c r="B432" s="21" t="s">
        <v>125</v>
      </c>
      <c r="C432" s="57">
        <v>44076</v>
      </c>
      <c r="D432" s="57">
        <v>47494</v>
      </c>
      <c r="E432" s="44" t="s">
        <v>126</v>
      </c>
      <c r="F432" s="18" t="s">
        <v>19</v>
      </c>
      <c r="G432" s="18"/>
      <c r="H432" s="33">
        <f>3535600000/1000000</f>
        <v>3535.6</v>
      </c>
      <c r="I432" s="33">
        <f t="shared" si="32"/>
        <v>0</v>
      </c>
      <c r="J432" s="32">
        <f t="shared" si="29"/>
        <v>3535.6</v>
      </c>
    </row>
    <row r="433" spans="1:10" x14ac:dyDescent="0.2">
      <c r="B433" s="21" t="s">
        <v>125</v>
      </c>
      <c r="C433" s="57">
        <v>44196</v>
      </c>
      <c r="D433" s="57">
        <v>47494</v>
      </c>
      <c r="E433" s="44" t="s">
        <v>126</v>
      </c>
      <c r="F433" s="18" t="s">
        <v>19</v>
      </c>
      <c r="G433" s="18"/>
      <c r="H433" s="33">
        <v>9500</v>
      </c>
      <c r="I433" s="33">
        <f t="shared" ref="I433" si="33">IF($J$416&gt;=D433,H433,0)</f>
        <v>0</v>
      </c>
      <c r="J433" s="32">
        <f t="shared" si="29"/>
        <v>9500</v>
      </c>
    </row>
    <row r="434" spans="1:10" x14ac:dyDescent="0.2">
      <c r="B434" s="21" t="s">
        <v>144</v>
      </c>
      <c r="C434" s="57">
        <v>44196</v>
      </c>
      <c r="D434" s="57">
        <v>49314</v>
      </c>
      <c r="E434" s="44" t="s">
        <v>137</v>
      </c>
      <c r="F434" s="18" t="s">
        <v>19</v>
      </c>
      <c r="G434" s="18"/>
      <c r="H434" s="33">
        <v>17517.7</v>
      </c>
      <c r="I434" s="33">
        <f t="shared" ref="I434" si="34">IF($J$416&gt;=D434,H434,0)</f>
        <v>0</v>
      </c>
      <c r="J434" s="32">
        <f t="shared" si="29"/>
        <v>17517.7</v>
      </c>
    </row>
    <row r="435" spans="1:10" ht="13.5" thickBot="1" x14ac:dyDescent="0.25">
      <c r="B435" s="59"/>
      <c r="C435" s="59"/>
      <c r="D435" s="59"/>
      <c r="E435" s="59"/>
      <c r="F435" s="59"/>
      <c r="G435" s="59"/>
      <c r="H435" s="59"/>
      <c r="I435" s="59"/>
      <c r="J435" s="59"/>
    </row>
    <row r="436" spans="1:10" x14ac:dyDescent="0.2">
      <c r="B436" s="21"/>
      <c r="C436" s="77"/>
      <c r="D436" s="78"/>
      <c r="E436" s="20"/>
      <c r="F436" s="18"/>
      <c r="G436" s="18"/>
      <c r="H436" s="33"/>
      <c r="I436" s="33"/>
      <c r="J436" s="32"/>
    </row>
    <row r="437" spans="1:10" x14ac:dyDescent="0.2">
      <c r="B437" s="11" t="s">
        <v>23</v>
      </c>
      <c r="C437" s="12"/>
      <c r="D437" s="12"/>
      <c r="E437" s="12"/>
      <c r="F437" s="12"/>
      <c r="G437" s="13"/>
      <c r="H437" s="12"/>
      <c r="I437" s="12"/>
      <c r="J437" s="12"/>
    </row>
    <row r="438" spans="1:10" ht="13.5" thickBot="1" x14ac:dyDescent="0.25">
      <c r="B438" s="79"/>
      <c r="C438" s="79"/>
      <c r="D438" s="79"/>
      <c r="F438" s="80"/>
      <c r="G438" s="82"/>
    </row>
    <row r="439" spans="1:10" ht="13.5" thickTop="1" x14ac:dyDescent="0.2"/>
    <row r="441" spans="1:10" ht="15" x14ac:dyDescent="0.25">
      <c r="B441" s="93" t="s">
        <v>147</v>
      </c>
      <c r="C441" s="93"/>
      <c r="D441" s="93"/>
      <c r="E441" s="93"/>
      <c r="F441" s="93"/>
      <c r="G441" s="93"/>
      <c r="H441" s="93"/>
      <c r="I441" s="93"/>
      <c r="J441" s="93"/>
    </row>
    <row r="442" spans="1:10" x14ac:dyDescent="0.2">
      <c r="B442" s="73"/>
      <c r="C442" s="73"/>
      <c r="D442" s="73"/>
      <c r="J442" s="74"/>
    </row>
    <row r="443" spans="1:10" x14ac:dyDescent="0.2">
      <c r="B443" s="94" t="s">
        <v>4</v>
      </c>
      <c r="C443" s="94"/>
      <c r="D443" s="94"/>
      <c r="E443" s="94"/>
      <c r="F443" s="94"/>
      <c r="G443" s="94"/>
      <c r="H443" s="94"/>
      <c r="I443" s="94"/>
      <c r="J443" s="94"/>
    </row>
    <row r="444" spans="1:10" ht="25.5" x14ac:dyDescent="0.2">
      <c r="B444" s="95" t="s">
        <v>0</v>
      </c>
      <c r="C444" s="95" t="s">
        <v>31</v>
      </c>
      <c r="D444" s="95" t="s">
        <v>1</v>
      </c>
      <c r="E444" s="95" t="s">
        <v>8</v>
      </c>
      <c r="F444" s="95" t="s">
        <v>18</v>
      </c>
      <c r="G444" s="95" t="s">
        <v>14</v>
      </c>
      <c r="H444" s="95" t="s">
        <v>6</v>
      </c>
      <c r="I444" s="95" t="s">
        <v>2</v>
      </c>
      <c r="J444" s="84" t="s">
        <v>3</v>
      </c>
    </row>
    <row r="445" spans="1:10" x14ac:dyDescent="0.2">
      <c r="B445" s="96"/>
      <c r="C445" s="96"/>
      <c r="D445" s="96"/>
      <c r="E445" s="96"/>
      <c r="F445" s="96"/>
      <c r="G445" s="96"/>
      <c r="H445" s="96"/>
      <c r="I445" s="96"/>
      <c r="J445" s="85">
        <f>J379</f>
        <v>45716</v>
      </c>
    </row>
    <row r="446" spans="1:10" x14ac:dyDescent="0.2">
      <c r="B446" s="2"/>
      <c r="C446" s="2"/>
      <c r="D446" s="2"/>
      <c r="E446" s="2"/>
      <c r="F446" s="2"/>
      <c r="G446" s="76"/>
      <c r="H446" s="2"/>
      <c r="I446" s="2"/>
      <c r="J446" s="10"/>
    </row>
    <row r="447" spans="1:10" ht="15.75" thickBot="1" x14ac:dyDescent="0.3">
      <c r="A447" s="23" t="s">
        <v>153</v>
      </c>
      <c r="B447" s="2"/>
      <c r="C447" s="2"/>
      <c r="D447" s="2"/>
      <c r="E447" s="14" t="s">
        <v>22</v>
      </c>
      <c r="F447" s="5" t="s">
        <v>19</v>
      </c>
      <c r="G447" s="15">
        <v>253727.67</v>
      </c>
      <c r="H447" s="15">
        <f>SUM(H448:H452)</f>
        <v>128756.3</v>
      </c>
      <c r="I447" s="15">
        <f>SUM(I448:I452)</f>
        <v>0</v>
      </c>
      <c r="J447" s="15">
        <f>SUM(J448:J452)</f>
        <v>128756.3</v>
      </c>
    </row>
    <row r="448" spans="1:10" ht="13.5" thickTop="1" x14ac:dyDescent="0.2">
      <c r="B448" s="21" t="s">
        <v>127</v>
      </c>
      <c r="C448" s="57">
        <v>44229</v>
      </c>
      <c r="D448" s="57">
        <v>51141</v>
      </c>
      <c r="E448" s="44" t="s">
        <v>128</v>
      </c>
      <c r="F448" s="18" t="s">
        <v>19</v>
      </c>
      <c r="G448" s="18"/>
      <c r="H448" s="33">
        <f>7000000000/1000000</f>
        <v>7000</v>
      </c>
      <c r="I448" s="33">
        <f>IF($J$445&gt;=D448,H448,0)</f>
        <v>0</v>
      </c>
      <c r="J448" s="32">
        <f t="shared" ref="J448:J451" si="35">H448-I448</f>
        <v>7000</v>
      </c>
    </row>
    <row r="449" spans="2:10" x14ac:dyDescent="0.2">
      <c r="B449" s="21" t="s">
        <v>144</v>
      </c>
      <c r="C449" s="57">
        <v>44292</v>
      </c>
      <c r="D449" s="57">
        <v>49314</v>
      </c>
      <c r="E449" s="44" t="s">
        <v>137</v>
      </c>
      <c r="F449" s="18" t="s">
        <v>19</v>
      </c>
      <c r="G449" s="18"/>
      <c r="H449" s="33">
        <f>5000000000/1000000</f>
        <v>5000</v>
      </c>
      <c r="I449" s="33">
        <f>IF($J$445&gt;=D449,H449,0)</f>
        <v>0</v>
      </c>
      <c r="J449" s="32">
        <f t="shared" si="35"/>
        <v>5000</v>
      </c>
    </row>
    <row r="450" spans="2:10" x14ac:dyDescent="0.2">
      <c r="B450" s="8" t="s">
        <v>148</v>
      </c>
      <c r="C450" s="89">
        <v>44355</v>
      </c>
      <c r="D450" s="89">
        <v>46915</v>
      </c>
      <c r="E450" s="90" t="s">
        <v>150</v>
      </c>
      <c r="F450" s="38" t="s">
        <v>19</v>
      </c>
      <c r="G450" s="38"/>
      <c r="H450" s="39">
        <v>35314.5</v>
      </c>
      <c r="I450" s="33">
        <f>IF($J$445&gt;=D450,H450,0)</f>
        <v>0</v>
      </c>
      <c r="J450" s="40">
        <f t="shared" si="35"/>
        <v>35314.5</v>
      </c>
    </row>
    <row r="451" spans="2:10" x14ac:dyDescent="0.2">
      <c r="B451" s="8" t="s">
        <v>149</v>
      </c>
      <c r="C451" s="89">
        <v>44355</v>
      </c>
      <c r="D451" s="89">
        <v>48010</v>
      </c>
      <c r="E451" s="90" t="s">
        <v>151</v>
      </c>
      <c r="F451" s="38" t="s">
        <v>19</v>
      </c>
      <c r="G451" s="38"/>
      <c r="H451" s="39">
        <v>81441.8</v>
      </c>
      <c r="I451" s="33">
        <f>IF($J$445&gt;=D451,H451,0)</f>
        <v>0</v>
      </c>
      <c r="J451" s="40">
        <f t="shared" si="35"/>
        <v>81441.8</v>
      </c>
    </row>
    <row r="452" spans="2:10" x14ac:dyDescent="0.2">
      <c r="B452" s="21"/>
      <c r="C452" s="57"/>
      <c r="D452" s="57"/>
      <c r="E452" s="44"/>
      <c r="F452" s="18"/>
      <c r="G452" s="18"/>
      <c r="H452" s="33"/>
      <c r="I452" s="33"/>
      <c r="J452" s="32"/>
    </row>
    <row r="453" spans="2:10" ht="13.5" thickBot="1" x14ac:dyDescent="0.25">
      <c r="B453" s="59"/>
      <c r="C453" s="59"/>
      <c r="D453" s="59"/>
      <c r="E453" s="59"/>
      <c r="F453" s="59"/>
      <c r="G453" s="59"/>
      <c r="H453" s="59"/>
      <c r="I453" s="59"/>
      <c r="J453" s="59"/>
    </row>
    <row r="454" spans="2:10" x14ac:dyDescent="0.2">
      <c r="B454" s="21"/>
      <c r="C454" s="77"/>
      <c r="D454" s="78"/>
      <c r="E454" s="20"/>
      <c r="F454" s="18"/>
      <c r="G454" s="18"/>
      <c r="H454" s="33"/>
      <c r="I454" s="33"/>
      <c r="J454" s="32"/>
    </row>
    <row r="455" spans="2:10" x14ac:dyDescent="0.2">
      <c r="B455" s="11" t="s">
        <v>23</v>
      </c>
      <c r="C455" s="12"/>
      <c r="D455" s="12"/>
      <c r="E455" s="12"/>
      <c r="F455" s="12"/>
      <c r="G455" s="13"/>
      <c r="H455" s="12"/>
      <c r="I455" s="12"/>
      <c r="J455" s="12"/>
    </row>
    <row r="456" spans="2:10" ht="13.5" thickBot="1" x14ac:dyDescent="0.25">
      <c r="B456" s="79"/>
      <c r="C456" s="79"/>
      <c r="D456" s="79"/>
      <c r="F456" s="80"/>
      <c r="G456" s="82"/>
      <c r="J456" s="54"/>
    </row>
    <row r="457" spans="2:10" ht="13.5" thickTop="1" x14ac:dyDescent="0.2"/>
    <row r="462" spans="2:10" ht="15" x14ac:dyDescent="0.25">
      <c r="B462" s="93" t="s">
        <v>156</v>
      </c>
      <c r="C462" s="93"/>
      <c r="D462" s="93"/>
      <c r="E462" s="93"/>
      <c r="F462" s="93"/>
      <c r="G462" s="93"/>
      <c r="H462" s="93"/>
      <c r="I462" s="93"/>
      <c r="J462" s="93"/>
    </row>
    <row r="463" spans="2:10" x14ac:dyDescent="0.2">
      <c r="B463" s="73"/>
      <c r="C463" s="73"/>
      <c r="D463" s="73"/>
      <c r="J463" s="74"/>
    </row>
    <row r="464" spans="2:10" x14ac:dyDescent="0.2">
      <c r="B464" s="94" t="s">
        <v>4</v>
      </c>
      <c r="C464" s="94"/>
      <c r="D464" s="94"/>
      <c r="E464" s="94"/>
      <c r="F464" s="94"/>
      <c r="G464" s="94"/>
      <c r="H464" s="94"/>
      <c r="I464" s="94"/>
      <c r="J464" s="94"/>
    </row>
    <row r="465" spans="1:10" ht="25.5" x14ac:dyDescent="0.2">
      <c r="B465" s="95" t="s">
        <v>0</v>
      </c>
      <c r="C465" s="95" t="s">
        <v>31</v>
      </c>
      <c r="D465" s="95" t="s">
        <v>1</v>
      </c>
      <c r="E465" s="95" t="s">
        <v>8</v>
      </c>
      <c r="F465" s="95" t="s">
        <v>18</v>
      </c>
      <c r="G465" s="95" t="s">
        <v>14</v>
      </c>
      <c r="H465" s="95" t="s">
        <v>6</v>
      </c>
      <c r="I465" s="95" t="s">
        <v>2</v>
      </c>
      <c r="J465" s="84" t="s">
        <v>3</v>
      </c>
    </row>
    <row r="466" spans="1:10" x14ac:dyDescent="0.2">
      <c r="B466" s="96"/>
      <c r="C466" s="96"/>
      <c r="D466" s="96"/>
      <c r="E466" s="96"/>
      <c r="F466" s="96"/>
      <c r="G466" s="96"/>
      <c r="H466" s="96"/>
      <c r="I466" s="96"/>
      <c r="J466" s="85">
        <f>J445</f>
        <v>45716</v>
      </c>
    </row>
    <row r="467" spans="1:10" x14ac:dyDescent="0.2">
      <c r="B467" s="2"/>
      <c r="C467" s="2"/>
      <c r="D467" s="2"/>
      <c r="E467" s="2"/>
      <c r="F467" s="2"/>
      <c r="G467" s="76"/>
      <c r="H467" s="2"/>
      <c r="I467" s="2"/>
      <c r="J467" s="10"/>
    </row>
    <row r="468" spans="1:10" ht="15.75" thickBot="1" x14ac:dyDescent="0.3">
      <c r="A468" s="23" t="s">
        <v>153</v>
      </c>
      <c r="B468" s="2"/>
      <c r="C468" s="2"/>
      <c r="D468" s="2"/>
      <c r="E468" s="14" t="s">
        <v>22</v>
      </c>
      <c r="F468" s="5" t="s">
        <v>19</v>
      </c>
      <c r="G468" s="15">
        <v>284079.39331900002</v>
      </c>
      <c r="H468" s="15">
        <f>SUM(H469:H472)</f>
        <v>100000</v>
      </c>
      <c r="I468" s="15">
        <f>SUM(I469:I472)</f>
        <v>0</v>
      </c>
      <c r="J468" s="15">
        <f>SUM(J469:J472)</f>
        <v>100000</v>
      </c>
    </row>
    <row r="469" spans="1:10" ht="13.5" thickTop="1" x14ac:dyDescent="0.2">
      <c r="B469" s="21" t="s">
        <v>158</v>
      </c>
      <c r="C469" s="57">
        <v>44722</v>
      </c>
      <c r="D469" s="57">
        <v>49104</v>
      </c>
      <c r="E469" s="44" t="s">
        <v>157</v>
      </c>
      <c r="F469" s="18" t="s">
        <v>19</v>
      </c>
      <c r="G469" s="18"/>
      <c r="H469" s="33">
        <v>50000</v>
      </c>
      <c r="I469" s="33">
        <f>IF($J$466&gt;=D469,H469,0)</f>
        <v>0</v>
      </c>
      <c r="J469" s="32">
        <f t="shared" ref="J469" si="36">H469-I469</f>
        <v>50000</v>
      </c>
    </row>
    <row r="470" spans="1:10" x14ac:dyDescent="0.2">
      <c r="B470" s="21" t="s">
        <v>158</v>
      </c>
      <c r="C470" s="57">
        <v>44722</v>
      </c>
      <c r="D470" s="57">
        <v>49104</v>
      </c>
      <c r="E470" s="44" t="s">
        <v>157</v>
      </c>
      <c r="F470" s="18" t="s">
        <v>19</v>
      </c>
      <c r="G470" s="18"/>
      <c r="H470" s="33">
        <v>20000</v>
      </c>
      <c r="I470" s="33">
        <f>IF($J$466&gt;=D470,H470,0)</f>
        <v>0</v>
      </c>
      <c r="J470" s="32">
        <f>H470-I470</f>
        <v>20000</v>
      </c>
    </row>
    <row r="471" spans="1:10" x14ac:dyDescent="0.2">
      <c r="B471" s="21" t="s">
        <v>159</v>
      </c>
      <c r="C471" s="57">
        <v>44825</v>
      </c>
      <c r="D471" s="57">
        <v>47384</v>
      </c>
      <c r="E471" s="44" t="s">
        <v>160</v>
      </c>
      <c r="F471" s="18" t="s">
        <v>19</v>
      </c>
      <c r="G471" s="18"/>
      <c r="H471" s="33">
        <v>15000</v>
      </c>
      <c r="I471" s="33">
        <f t="shared" ref="I471:I472" si="37">IF($J$466&gt;=D471,H471,0)</f>
        <v>0</v>
      </c>
      <c r="J471" s="32">
        <f t="shared" ref="J471:J472" si="38">H471-I471</f>
        <v>15000</v>
      </c>
    </row>
    <row r="472" spans="1:10" x14ac:dyDescent="0.2">
      <c r="B472" s="21" t="s">
        <v>159</v>
      </c>
      <c r="C472" s="57">
        <v>44826</v>
      </c>
      <c r="D472" s="57">
        <v>47384</v>
      </c>
      <c r="E472" s="44" t="s">
        <v>160</v>
      </c>
      <c r="F472" s="18" t="s">
        <v>19</v>
      </c>
      <c r="G472" s="18"/>
      <c r="H472" s="33">
        <v>15000</v>
      </c>
      <c r="I472" s="33">
        <f t="shared" si="37"/>
        <v>0</v>
      </c>
      <c r="J472" s="32">
        <f t="shared" si="38"/>
        <v>15000</v>
      </c>
    </row>
    <row r="473" spans="1:10" x14ac:dyDescent="0.2">
      <c r="B473" s="21"/>
      <c r="C473" s="57"/>
      <c r="D473" s="57"/>
      <c r="E473" s="44"/>
      <c r="F473" s="18"/>
      <c r="G473" s="18"/>
      <c r="H473" s="33"/>
      <c r="I473" s="33"/>
      <c r="J473" s="32"/>
    </row>
    <row r="474" spans="1:10" ht="13.5" thickBot="1" x14ac:dyDescent="0.25">
      <c r="B474" s="59"/>
      <c r="C474" s="59"/>
      <c r="D474" s="59"/>
      <c r="E474" s="59"/>
      <c r="F474" s="59"/>
      <c r="G474" s="59"/>
      <c r="H474" s="59"/>
      <c r="I474" s="59"/>
      <c r="J474" s="59"/>
    </row>
    <row r="475" spans="1:10" x14ac:dyDescent="0.2">
      <c r="B475" s="21"/>
      <c r="C475" s="77"/>
      <c r="D475" s="78"/>
      <c r="E475" s="20"/>
      <c r="F475" s="18"/>
      <c r="G475" s="18"/>
      <c r="H475" s="33"/>
      <c r="I475" s="33"/>
      <c r="J475" s="32"/>
    </row>
    <row r="476" spans="1:10" x14ac:dyDescent="0.2">
      <c r="B476" s="11" t="s">
        <v>23</v>
      </c>
      <c r="C476" s="12"/>
      <c r="D476" s="12"/>
      <c r="E476" s="12"/>
      <c r="F476" s="12"/>
      <c r="G476" s="13"/>
      <c r="H476" s="12"/>
      <c r="I476" s="12"/>
      <c r="J476" s="12"/>
    </row>
    <row r="477" spans="1:10" ht="13.5" thickBot="1" x14ac:dyDescent="0.25">
      <c r="B477" s="79"/>
      <c r="C477" s="79"/>
      <c r="D477" s="79"/>
      <c r="F477" s="80"/>
      <c r="G477" s="82"/>
      <c r="J477" s="54"/>
    </row>
    <row r="478" spans="1:10" ht="13.5" thickTop="1" x14ac:dyDescent="0.2"/>
    <row r="481" spans="2:10" ht="15" x14ac:dyDescent="0.25">
      <c r="B481" s="93" t="s">
        <v>167</v>
      </c>
      <c r="C481" s="93"/>
      <c r="D481" s="93"/>
      <c r="E481" s="93"/>
      <c r="F481" s="93"/>
      <c r="G481" s="93"/>
      <c r="H481" s="93"/>
      <c r="I481" s="93"/>
      <c r="J481" s="93"/>
    </row>
    <row r="482" spans="2:10" x14ac:dyDescent="0.2">
      <c r="B482" s="73"/>
      <c r="C482" s="73"/>
      <c r="D482" s="73"/>
      <c r="J482" s="74"/>
    </row>
    <row r="483" spans="2:10" x14ac:dyDescent="0.2">
      <c r="B483" s="94" t="s">
        <v>4</v>
      </c>
      <c r="C483" s="94"/>
      <c r="D483" s="94"/>
      <c r="E483" s="94"/>
      <c r="F483" s="94"/>
      <c r="G483" s="94"/>
      <c r="H483" s="94"/>
      <c r="I483" s="94"/>
      <c r="J483" s="94"/>
    </row>
    <row r="484" spans="2:10" ht="25.5" x14ac:dyDescent="0.2">
      <c r="B484" s="95" t="s">
        <v>0</v>
      </c>
      <c r="C484" s="95" t="s">
        <v>31</v>
      </c>
      <c r="D484" s="95" t="s">
        <v>1</v>
      </c>
      <c r="E484" s="95" t="s">
        <v>8</v>
      </c>
      <c r="F484" s="95" t="s">
        <v>18</v>
      </c>
      <c r="G484" s="95" t="s">
        <v>14</v>
      </c>
      <c r="H484" s="95" t="s">
        <v>6</v>
      </c>
      <c r="I484" s="95" t="s">
        <v>2</v>
      </c>
      <c r="J484" s="84" t="s">
        <v>3</v>
      </c>
    </row>
    <row r="485" spans="2:10" x14ac:dyDescent="0.2">
      <c r="B485" s="96"/>
      <c r="C485" s="96"/>
      <c r="D485" s="96"/>
      <c r="E485" s="96"/>
      <c r="F485" s="96"/>
      <c r="G485" s="96"/>
      <c r="H485" s="96"/>
      <c r="I485" s="96"/>
      <c r="J485" s="85">
        <f>J466</f>
        <v>45716</v>
      </c>
    </row>
    <row r="486" spans="2:10" x14ac:dyDescent="0.2">
      <c r="B486" s="2"/>
      <c r="C486" s="2"/>
      <c r="D486" s="2"/>
      <c r="E486" s="2"/>
      <c r="F486" s="2"/>
      <c r="G486" s="76"/>
      <c r="H486" s="2"/>
      <c r="I486" s="2"/>
      <c r="J486" s="10"/>
    </row>
    <row r="487" spans="2:10" ht="15.75" thickBot="1" x14ac:dyDescent="0.3">
      <c r="B487" s="2"/>
      <c r="C487" s="2"/>
      <c r="D487" s="2"/>
      <c r="E487" s="14" t="s">
        <v>22</v>
      </c>
      <c r="F487" s="5" t="s">
        <v>19</v>
      </c>
      <c r="G487" s="15">
        <v>363257.860888</v>
      </c>
      <c r="H487" s="15">
        <f>SUM(H488:H498)</f>
        <v>90000</v>
      </c>
      <c r="I487" s="15">
        <f>SUM(I488:I497)</f>
        <v>0</v>
      </c>
      <c r="J487" s="15">
        <f>SUM(J488:J497)</f>
        <v>90000</v>
      </c>
    </row>
    <row r="488" spans="2:10" ht="13.5" thickTop="1" x14ac:dyDescent="0.2">
      <c r="B488" s="21" t="s">
        <v>165</v>
      </c>
      <c r="C488" s="57">
        <v>44967</v>
      </c>
      <c r="D488" s="57">
        <v>48985</v>
      </c>
      <c r="E488" s="44" t="s">
        <v>166</v>
      </c>
      <c r="F488" s="18" t="s">
        <v>19</v>
      </c>
      <c r="G488" s="18"/>
      <c r="H488" s="33">
        <v>30000</v>
      </c>
      <c r="I488" s="33">
        <f>IF($J$445&gt;=D488,H488,0)</f>
        <v>0</v>
      </c>
      <c r="J488" s="40">
        <f t="shared" ref="J488" si="39">H488-I488</f>
        <v>30000</v>
      </c>
    </row>
    <row r="489" spans="2:10" x14ac:dyDescent="0.2">
      <c r="B489" s="21" t="s">
        <v>165</v>
      </c>
      <c r="C489" s="57">
        <v>44992</v>
      </c>
      <c r="D489" s="57">
        <v>48985</v>
      </c>
      <c r="E489" s="44" t="s">
        <v>166</v>
      </c>
      <c r="F489" s="18" t="s">
        <v>19</v>
      </c>
      <c r="G489" s="18"/>
      <c r="H489" s="33">
        <v>10000</v>
      </c>
      <c r="I489" s="33">
        <f>IF($J$445&gt;=D489,H489,0)</f>
        <v>0</v>
      </c>
      <c r="J489" s="40">
        <f t="shared" ref="J489" si="40">H489-I489</f>
        <v>10000</v>
      </c>
    </row>
    <row r="490" spans="2:10" x14ac:dyDescent="0.2">
      <c r="B490" s="21" t="s">
        <v>165</v>
      </c>
      <c r="C490" s="57">
        <v>45027</v>
      </c>
      <c r="D490" s="57">
        <v>48985</v>
      </c>
      <c r="E490" s="44" t="s">
        <v>166</v>
      </c>
      <c r="F490" s="18" t="s">
        <v>19</v>
      </c>
      <c r="G490" s="18"/>
      <c r="H490" s="33">
        <v>5000</v>
      </c>
      <c r="I490" s="33">
        <f>IF($J$445&gt;=D490,H490,0)</f>
        <v>0</v>
      </c>
      <c r="J490" s="40">
        <f t="shared" ref="J490" si="41">H490-I490</f>
        <v>5000</v>
      </c>
    </row>
    <row r="491" spans="2:10" x14ac:dyDescent="0.2">
      <c r="B491" s="21" t="s">
        <v>165</v>
      </c>
      <c r="C491" s="57">
        <v>45048</v>
      </c>
      <c r="D491" s="57">
        <v>48985</v>
      </c>
      <c r="E491" s="44" t="s">
        <v>166</v>
      </c>
      <c r="F491" s="18" t="s">
        <v>19</v>
      </c>
      <c r="G491" s="18"/>
      <c r="H491" s="33">
        <v>5000</v>
      </c>
      <c r="I491" s="33">
        <f>IF($J$445&gt;=D491,H491,0)</f>
        <v>0</v>
      </c>
      <c r="J491" s="40">
        <f t="shared" ref="J491:J493" si="42">H491-I491</f>
        <v>5000</v>
      </c>
    </row>
    <row r="492" spans="2:10" x14ac:dyDescent="0.2">
      <c r="B492" s="21" t="s">
        <v>165</v>
      </c>
      <c r="C492" s="57">
        <v>45083</v>
      </c>
      <c r="D492" s="57">
        <v>48985</v>
      </c>
      <c r="E492" s="44" t="s">
        <v>166</v>
      </c>
      <c r="F492" s="18" t="s">
        <v>19</v>
      </c>
      <c r="G492" s="18"/>
      <c r="H492" s="33">
        <v>10000</v>
      </c>
      <c r="I492" s="33">
        <f t="shared" ref="I492:I493" si="43">IF($J$445&gt;=D492,H492,0)</f>
        <v>0</v>
      </c>
      <c r="J492" s="40">
        <f t="shared" si="42"/>
        <v>10000</v>
      </c>
    </row>
    <row r="493" spans="2:10" x14ac:dyDescent="0.2">
      <c r="B493" s="21" t="s">
        <v>165</v>
      </c>
      <c r="C493" s="57">
        <v>45084</v>
      </c>
      <c r="D493" s="57">
        <v>48985</v>
      </c>
      <c r="E493" s="44" t="s">
        <v>166</v>
      </c>
      <c r="F493" s="18" t="s">
        <v>19</v>
      </c>
      <c r="G493" s="18"/>
      <c r="H493" s="33">
        <v>10000</v>
      </c>
      <c r="I493" s="33">
        <f t="shared" si="43"/>
        <v>0</v>
      </c>
      <c r="J493" s="40">
        <f t="shared" si="42"/>
        <v>10000</v>
      </c>
    </row>
    <row r="494" spans="2:10" x14ac:dyDescent="0.2">
      <c r="B494" s="21" t="s">
        <v>165</v>
      </c>
      <c r="C494" s="57">
        <v>45112</v>
      </c>
      <c r="D494" s="57">
        <v>48985</v>
      </c>
      <c r="E494" s="44" t="s">
        <v>166</v>
      </c>
      <c r="F494" s="18" t="s">
        <v>19</v>
      </c>
      <c r="G494" s="18"/>
      <c r="H494" s="33">
        <v>10000</v>
      </c>
      <c r="I494" s="33">
        <f t="shared" ref="I494:I495" si="44">IF($J$445&gt;=D494,H494,0)</f>
        <v>0</v>
      </c>
      <c r="J494" s="40">
        <f t="shared" ref="J494:J495" si="45">H494-I494</f>
        <v>10000</v>
      </c>
    </row>
    <row r="495" spans="2:10" x14ac:dyDescent="0.2">
      <c r="B495" s="21" t="s">
        <v>165</v>
      </c>
      <c r="C495" s="57">
        <v>45113</v>
      </c>
      <c r="D495" s="57">
        <v>48985</v>
      </c>
      <c r="E495" s="44" t="s">
        <v>166</v>
      </c>
      <c r="F495" s="18" t="s">
        <v>19</v>
      </c>
      <c r="G495" s="18"/>
      <c r="H495" s="33">
        <v>10000</v>
      </c>
      <c r="I495" s="33">
        <f t="shared" si="44"/>
        <v>0</v>
      </c>
      <c r="J495" s="40">
        <f t="shared" si="45"/>
        <v>10000</v>
      </c>
    </row>
    <row r="496" spans="2:10" x14ac:dyDescent="0.2">
      <c r="B496" s="21"/>
      <c r="C496" s="57"/>
      <c r="D496" s="57"/>
      <c r="E496" s="44"/>
      <c r="F496" s="18"/>
      <c r="G496" s="18"/>
      <c r="H496" s="33"/>
      <c r="I496" s="33"/>
      <c r="J496" s="40"/>
    </row>
    <row r="497" spans="2:10" ht="13.5" thickBot="1" x14ac:dyDescent="0.25">
      <c r="B497" s="59"/>
      <c r="C497" s="59"/>
      <c r="D497" s="59"/>
      <c r="E497" s="59"/>
      <c r="F497" s="59"/>
      <c r="G497" s="59"/>
      <c r="H497" s="59"/>
      <c r="I497" s="59"/>
      <c r="J497" s="91"/>
    </row>
    <row r="498" spans="2:10" x14ac:dyDescent="0.2">
      <c r="B498" s="21"/>
      <c r="C498" s="77"/>
      <c r="D498" s="78"/>
      <c r="E498" s="20"/>
      <c r="F498" s="18"/>
      <c r="G498" s="18"/>
      <c r="H498" s="33"/>
      <c r="I498" s="33"/>
      <c r="J498" s="32"/>
    </row>
    <row r="499" spans="2:10" x14ac:dyDescent="0.2">
      <c r="B499" s="11" t="s">
        <v>23</v>
      </c>
      <c r="C499" s="12"/>
      <c r="D499" s="12"/>
      <c r="E499" s="12"/>
      <c r="F499" s="12"/>
      <c r="G499" s="80"/>
      <c r="H499" s="12"/>
      <c r="I499" s="12"/>
      <c r="J499" s="12"/>
    </row>
    <row r="500" spans="2:10" ht="13.5" thickBot="1" x14ac:dyDescent="0.25">
      <c r="B500" s="79"/>
      <c r="C500" s="79"/>
      <c r="D500" s="79"/>
      <c r="F500" s="80"/>
      <c r="G500" s="82"/>
      <c r="J500" s="54"/>
    </row>
    <row r="501" spans="2:10" ht="13.5" thickTop="1" x14ac:dyDescent="0.2"/>
    <row r="505" spans="2:10" ht="15" x14ac:dyDescent="0.25">
      <c r="B505" s="93" t="s">
        <v>172</v>
      </c>
      <c r="C505" s="93"/>
      <c r="D505" s="93"/>
      <c r="E505" s="93"/>
      <c r="F505" s="93"/>
      <c r="G505" s="93"/>
      <c r="H505" s="93"/>
      <c r="I505" s="93"/>
      <c r="J505" s="93"/>
    </row>
    <row r="506" spans="2:10" x14ac:dyDescent="0.2">
      <c r="B506" s="73"/>
      <c r="C506" s="73"/>
      <c r="D506" s="73"/>
      <c r="J506" s="74"/>
    </row>
    <row r="507" spans="2:10" x14ac:dyDescent="0.2">
      <c r="B507" s="94" t="s">
        <v>4</v>
      </c>
      <c r="C507" s="94"/>
      <c r="D507" s="94"/>
      <c r="E507" s="94"/>
      <c r="F507" s="94"/>
      <c r="G507" s="94"/>
      <c r="H507" s="94"/>
      <c r="I507" s="94"/>
      <c r="J507" s="94"/>
    </row>
    <row r="508" spans="2:10" ht="25.5" x14ac:dyDescent="0.2">
      <c r="B508" s="95" t="s">
        <v>0</v>
      </c>
      <c r="C508" s="95" t="s">
        <v>31</v>
      </c>
      <c r="D508" s="95" t="s">
        <v>1</v>
      </c>
      <c r="E508" s="95" t="s">
        <v>8</v>
      </c>
      <c r="F508" s="95" t="s">
        <v>18</v>
      </c>
      <c r="G508" s="95" t="s">
        <v>14</v>
      </c>
      <c r="H508" s="95" t="s">
        <v>6</v>
      </c>
      <c r="I508" s="95" t="s">
        <v>2</v>
      </c>
      <c r="J508" s="84" t="s">
        <v>3</v>
      </c>
    </row>
    <row r="509" spans="2:10" x14ac:dyDescent="0.2">
      <c r="B509" s="96"/>
      <c r="C509" s="96"/>
      <c r="D509" s="96"/>
      <c r="E509" s="96"/>
      <c r="F509" s="96"/>
      <c r="G509" s="96"/>
      <c r="H509" s="96"/>
      <c r="I509" s="96"/>
      <c r="J509" s="85">
        <f>J485</f>
        <v>45716</v>
      </c>
    </row>
    <row r="510" spans="2:10" x14ac:dyDescent="0.2">
      <c r="B510" s="2"/>
      <c r="C510" s="2"/>
      <c r="D510" s="2"/>
      <c r="E510" s="2"/>
      <c r="F510" s="2"/>
      <c r="G510" s="76"/>
      <c r="H510" s="2"/>
      <c r="I510" s="2"/>
      <c r="J510" s="10"/>
    </row>
    <row r="511" spans="2:10" ht="15.75" thickBot="1" x14ac:dyDescent="0.3">
      <c r="B511" s="2"/>
      <c r="C511" s="2"/>
      <c r="D511" s="2"/>
      <c r="E511" s="14" t="s">
        <v>22</v>
      </c>
      <c r="F511" s="5" t="s">
        <v>19</v>
      </c>
      <c r="G511" s="15">
        <v>344980.21211800002</v>
      </c>
      <c r="H511" s="15">
        <f>SUM(H512:H520)</f>
        <v>125000</v>
      </c>
      <c r="I511" s="15">
        <f>SUM(I512:I520)</f>
        <v>0</v>
      </c>
      <c r="J511" s="15">
        <f>SUM(J512:J520)</f>
        <v>125000</v>
      </c>
    </row>
    <row r="512" spans="2:10" ht="13.5" thickTop="1" x14ac:dyDescent="0.2">
      <c r="B512" s="21" t="s">
        <v>173</v>
      </c>
      <c r="C512" s="57">
        <v>45328</v>
      </c>
      <c r="D512" s="57">
        <v>47888</v>
      </c>
      <c r="E512" s="44" t="s">
        <v>136</v>
      </c>
      <c r="F512" s="18" t="s">
        <v>19</v>
      </c>
      <c r="G512" s="18"/>
      <c r="H512" s="33">
        <v>20000</v>
      </c>
      <c r="I512" s="33">
        <f t="shared" ref="I512:I517" si="46">IF($J$445&gt;=D512,H512,0)</f>
        <v>0</v>
      </c>
      <c r="J512" s="40">
        <f t="shared" ref="J512" si="47">H512-I512</f>
        <v>20000</v>
      </c>
    </row>
    <row r="513" spans="2:13" x14ac:dyDescent="0.2">
      <c r="B513" s="21" t="s">
        <v>173</v>
      </c>
      <c r="C513" s="57">
        <v>45329</v>
      </c>
      <c r="D513" s="57">
        <v>47888</v>
      </c>
      <c r="E513" s="44" t="s">
        <v>136</v>
      </c>
      <c r="F513" s="18" t="s">
        <v>19</v>
      </c>
      <c r="G513" s="18"/>
      <c r="H513" s="33">
        <v>10000</v>
      </c>
      <c r="I513" s="33">
        <f t="shared" si="46"/>
        <v>0</v>
      </c>
      <c r="J513" s="40">
        <f>H513-I513</f>
        <v>10000</v>
      </c>
    </row>
    <row r="514" spans="2:13" x14ac:dyDescent="0.2">
      <c r="B514" s="21" t="s">
        <v>173</v>
      </c>
      <c r="C514" s="57">
        <v>45356</v>
      </c>
      <c r="D514" s="57">
        <v>47888</v>
      </c>
      <c r="E514" s="44" t="s">
        <v>136</v>
      </c>
      <c r="F514" s="18" t="s">
        <v>19</v>
      </c>
      <c r="G514" s="18"/>
      <c r="H514" s="33">
        <v>15000</v>
      </c>
      <c r="I514" s="33">
        <f t="shared" si="46"/>
        <v>0</v>
      </c>
      <c r="J514" s="40">
        <f>H514-I514</f>
        <v>15000</v>
      </c>
    </row>
    <row r="515" spans="2:13" x14ac:dyDescent="0.2">
      <c r="B515" s="21" t="s">
        <v>173</v>
      </c>
      <c r="C515" s="57">
        <v>45384</v>
      </c>
      <c r="D515" s="57">
        <v>47888</v>
      </c>
      <c r="E515" s="44" t="s">
        <v>136</v>
      </c>
      <c r="F515" s="18" t="s">
        <v>19</v>
      </c>
      <c r="G515" s="18"/>
      <c r="H515" s="33">
        <v>15000</v>
      </c>
      <c r="I515" s="33">
        <f t="shared" si="46"/>
        <v>0</v>
      </c>
      <c r="J515" s="40">
        <f>H515-I515</f>
        <v>15000</v>
      </c>
    </row>
    <row r="516" spans="2:13" x14ac:dyDescent="0.2">
      <c r="B516" s="21" t="s">
        <v>175</v>
      </c>
      <c r="C516" s="57">
        <v>45419</v>
      </c>
      <c r="D516" s="57">
        <v>49439</v>
      </c>
      <c r="E516" s="44" t="s">
        <v>176</v>
      </c>
      <c r="F516" s="18" t="s">
        <v>19</v>
      </c>
      <c r="G516" s="18"/>
      <c r="H516" s="33">
        <v>20000</v>
      </c>
      <c r="I516" s="33">
        <f t="shared" si="46"/>
        <v>0</v>
      </c>
      <c r="J516" s="40">
        <f t="shared" ref="J516:J517" si="48">H516-I516</f>
        <v>20000</v>
      </c>
    </row>
    <row r="517" spans="2:13" x14ac:dyDescent="0.2">
      <c r="B517" s="21" t="s">
        <v>175</v>
      </c>
      <c r="C517" s="57">
        <v>45420</v>
      </c>
      <c r="D517" s="57">
        <v>49439</v>
      </c>
      <c r="E517" s="44" t="s">
        <v>176</v>
      </c>
      <c r="F517" s="18" t="s">
        <v>19</v>
      </c>
      <c r="G517" s="18"/>
      <c r="H517" s="33">
        <v>20000</v>
      </c>
      <c r="I517" s="33">
        <f t="shared" si="46"/>
        <v>0</v>
      </c>
      <c r="J517" s="40">
        <f t="shared" si="48"/>
        <v>20000</v>
      </c>
    </row>
    <row r="518" spans="2:13" x14ac:dyDescent="0.2">
      <c r="B518" s="21" t="s">
        <v>175</v>
      </c>
      <c r="C518" s="57">
        <v>45601</v>
      </c>
      <c r="D518" s="57">
        <v>49439</v>
      </c>
      <c r="E518" s="44" t="s">
        <v>176</v>
      </c>
      <c r="F518" s="18" t="s">
        <v>19</v>
      </c>
      <c r="G518" s="18"/>
      <c r="H518" s="33">
        <v>25000</v>
      </c>
      <c r="I518" s="33">
        <f t="shared" ref="I518" si="49">IF($J$445&gt;=D518,H518,0)</f>
        <v>0</v>
      </c>
      <c r="J518" s="40">
        <f t="shared" ref="J518" si="50">H518-I518</f>
        <v>25000</v>
      </c>
    </row>
    <row r="519" spans="2:13" x14ac:dyDescent="0.2">
      <c r="B519" s="21"/>
      <c r="C519" s="57"/>
      <c r="D519" s="57"/>
      <c r="E519" s="44"/>
      <c r="F519" s="18"/>
      <c r="G519" s="18"/>
      <c r="H519" s="33"/>
      <c r="I519" s="33"/>
      <c r="J519" s="40"/>
    </row>
    <row r="520" spans="2:13" ht="13.5" thickBot="1" x14ac:dyDescent="0.25">
      <c r="B520" s="59"/>
      <c r="C520" s="59"/>
      <c r="D520" s="59"/>
      <c r="E520" s="59"/>
      <c r="F520" s="59"/>
      <c r="G520" s="59"/>
      <c r="H520" s="59"/>
      <c r="I520" s="59"/>
      <c r="J520" s="91"/>
    </row>
    <row r="521" spans="2:13" x14ac:dyDescent="0.2">
      <c r="B521" s="21"/>
      <c r="C521" s="77"/>
      <c r="D521" s="78"/>
      <c r="E521" s="20"/>
      <c r="F521" s="18"/>
      <c r="G521" s="18"/>
      <c r="H521" s="33"/>
      <c r="I521" s="33"/>
      <c r="J521" s="32"/>
    </row>
    <row r="522" spans="2:13" x14ac:dyDescent="0.2">
      <c r="B522" s="11" t="s">
        <v>23</v>
      </c>
      <c r="C522" s="12"/>
      <c r="D522" s="12"/>
      <c r="E522" s="12"/>
      <c r="F522" s="12"/>
      <c r="G522" s="80"/>
      <c r="H522" s="12"/>
      <c r="I522" s="12"/>
      <c r="J522" s="12"/>
    </row>
    <row r="523" spans="2:13" ht="13.5" thickBot="1" x14ac:dyDescent="0.25">
      <c r="B523" s="79"/>
      <c r="C523" s="79"/>
      <c r="D523" s="79"/>
      <c r="F523" s="80"/>
      <c r="G523" s="82"/>
      <c r="J523" s="54"/>
    </row>
    <row r="524" spans="2:13" ht="13.5" thickTop="1" x14ac:dyDescent="0.2">
      <c r="J524" s="54"/>
    </row>
    <row r="525" spans="2:13" x14ac:dyDescent="0.2">
      <c r="J525" s="54"/>
    </row>
    <row r="526" spans="2:13" x14ac:dyDescent="0.2">
      <c r="J526" s="54"/>
    </row>
    <row r="527" spans="2:13" ht="15" x14ac:dyDescent="0.25">
      <c r="B527" s="93" t="s">
        <v>177</v>
      </c>
      <c r="C527" s="93"/>
      <c r="D527" s="93"/>
      <c r="E527" s="93"/>
      <c r="F527" s="93"/>
      <c r="G527" s="93"/>
      <c r="H527" s="93"/>
      <c r="I527" s="93"/>
      <c r="J527" s="93"/>
    </row>
    <row r="528" spans="2:13" x14ac:dyDescent="0.2">
      <c r="B528" s="73"/>
      <c r="C528" s="73"/>
      <c r="D528" s="73"/>
      <c r="J528" s="74"/>
      <c r="M528" s="107"/>
    </row>
    <row r="529" spans="2:11" x14ac:dyDescent="0.2">
      <c r="B529" s="94" t="s">
        <v>4</v>
      </c>
      <c r="C529" s="94"/>
      <c r="D529" s="94"/>
      <c r="E529" s="94"/>
      <c r="F529" s="94"/>
      <c r="G529" s="94"/>
      <c r="H529" s="94"/>
      <c r="I529" s="94"/>
      <c r="J529" s="94"/>
      <c r="K529" s="108"/>
    </row>
    <row r="530" spans="2:11" ht="25.5" x14ac:dyDescent="0.2">
      <c r="B530" s="95" t="s">
        <v>0</v>
      </c>
      <c r="C530" s="95" t="s">
        <v>31</v>
      </c>
      <c r="D530" s="95" t="s">
        <v>1</v>
      </c>
      <c r="E530" s="95" t="s">
        <v>8</v>
      </c>
      <c r="F530" s="95" t="s">
        <v>18</v>
      </c>
      <c r="G530" s="95" t="s">
        <v>14</v>
      </c>
      <c r="H530" s="95" t="s">
        <v>6</v>
      </c>
      <c r="I530" s="95" t="s">
        <v>2</v>
      </c>
      <c r="J530" s="84" t="s">
        <v>3</v>
      </c>
    </row>
    <row r="531" spans="2:11" x14ac:dyDescent="0.2">
      <c r="B531" s="96"/>
      <c r="C531" s="96"/>
      <c r="D531" s="96"/>
      <c r="E531" s="96"/>
      <c r="F531" s="96"/>
      <c r="G531" s="96"/>
      <c r="H531" s="96"/>
      <c r="I531" s="96"/>
      <c r="J531" s="85">
        <f>J509</f>
        <v>45716</v>
      </c>
    </row>
    <row r="532" spans="2:11" x14ac:dyDescent="0.2">
      <c r="B532" s="2"/>
      <c r="C532" s="2"/>
      <c r="D532" s="2"/>
      <c r="E532" s="2"/>
      <c r="F532" s="2"/>
      <c r="G532" s="76"/>
      <c r="H532" s="2"/>
      <c r="I532" s="2"/>
      <c r="J532" s="10"/>
      <c r="K532" s="102"/>
    </row>
    <row r="533" spans="2:11" ht="15.75" thickBot="1" x14ac:dyDescent="0.3">
      <c r="B533" s="2"/>
      <c r="C533" s="2"/>
      <c r="D533" s="2"/>
      <c r="E533" s="14" t="s">
        <v>22</v>
      </c>
      <c r="F533" s="5" t="s">
        <v>19</v>
      </c>
      <c r="G533" s="15">
        <v>350990.39</v>
      </c>
      <c r="H533" s="15">
        <f>SUM(H534:H535)</f>
        <v>0</v>
      </c>
      <c r="I533" s="15">
        <f>SUM(I534:I535)</f>
        <v>0</v>
      </c>
      <c r="J533" s="15">
        <f>SUM(J534:J535)</f>
        <v>0</v>
      </c>
    </row>
    <row r="534" spans="2:11" ht="13.5" thickTop="1" x14ac:dyDescent="0.2">
      <c r="B534" s="21"/>
      <c r="C534" s="57"/>
      <c r="D534" s="57"/>
      <c r="E534" s="44"/>
      <c r="F534" s="18"/>
      <c r="G534" s="18"/>
      <c r="H534" s="33"/>
      <c r="I534" s="33"/>
      <c r="J534" s="40"/>
    </row>
    <row r="535" spans="2:11" ht="13.5" thickBot="1" x14ac:dyDescent="0.25">
      <c r="B535" s="59"/>
      <c r="C535" s="59"/>
      <c r="D535" s="59"/>
      <c r="E535" s="59"/>
      <c r="F535" s="59"/>
      <c r="G535" s="59"/>
      <c r="H535" s="59"/>
      <c r="I535" s="59"/>
      <c r="J535" s="91"/>
    </row>
    <row r="536" spans="2:11" x14ac:dyDescent="0.2">
      <c r="B536" s="21"/>
      <c r="C536" s="77"/>
      <c r="D536" s="78"/>
      <c r="E536" s="20"/>
      <c r="F536" s="18"/>
      <c r="G536" s="18"/>
      <c r="H536" s="33"/>
      <c r="I536" s="33"/>
      <c r="J536" s="32"/>
    </row>
    <row r="537" spans="2:11" x14ac:dyDescent="0.2">
      <c r="B537" s="11" t="s">
        <v>23</v>
      </c>
      <c r="C537" s="12"/>
      <c r="D537" s="12"/>
      <c r="E537" s="12"/>
      <c r="F537" s="12"/>
      <c r="G537" s="80"/>
      <c r="H537" s="12"/>
      <c r="I537" s="12"/>
      <c r="J537" s="12"/>
    </row>
    <row r="538" spans="2:11" ht="13.5" thickBot="1" x14ac:dyDescent="0.25">
      <c r="B538" s="79"/>
      <c r="C538" s="79"/>
      <c r="D538" s="79"/>
      <c r="F538" s="80"/>
      <c r="G538" s="82"/>
      <c r="J538" s="54"/>
    </row>
    <row r="539" spans="2:11" ht="13.5" thickTop="1" x14ac:dyDescent="0.2"/>
  </sheetData>
  <mergeCells count="201">
    <mergeCell ref="B505:J505"/>
    <mergeCell ref="B507:J507"/>
    <mergeCell ref="B508:B509"/>
    <mergeCell ref="C508:C509"/>
    <mergeCell ref="D508:D509"/>
    <mergeCell ref="E508:E509"/>
    <mergeCell ref="F508:F509"/>
    <mergeCell ref="G508:G509"/>
    <mergeCell ref="H508:H509"/>
    <mergeCell ref="I508:I509"/>
    <mergeCell ref="B6:J6"/>
    <mergeCell ref="B375:J375"/>
    <mergeCell ref="B377:J377"/>
    <mergeCell ref="B378:B379"/>
    <mergeCell ref="C378:C379"/>
    <mergeCell ref="D378:D379"/>
    <mergeCell ref="E378:E379"/>
    <mergeCell ref="F378:F379"/>
    <mergeCell ref="G378:G379"/>
    <mergeCell ref="H378:H379"/>
    <mergeCell ref="I378:I379"/>
    <mergeCell ref="G179:G180"/>
    <mergeCell ref="G65:G66"/>
    <mergeCell ref="B155:J155"/>
    <mergeCell ref="B156:B157"/>
    <mergeCell ref="C156:C157"/>
    <mergeCell ref="D156:D157"/>
    <mergeCell ref="E156:E157"/>
    <mergeCell ref="F156:F157"/>
    <mergeCell ref="G156:G157"/>
    <mergeCell ref="B83:J83"/>
    <mergeCell ref="B153:J153"/>
    <mergeCell ref="B85:J85"/>
    <mergeCell ref="B86:B87"/>
    <mergeCell ref="C86:C87"/>
    <mergeCell ref="D86:D87"/>
    <mergeCell ref="E86:E87"/>
    <mergeCell ref="F86:F87"/>
    <mergeCell ref="B65:B66"/>
    <mergeCell ref="C65:C66"/>
    <mergeCell ref="D65:D66"/>
    <mergeCell ref="E65:E66"/>
    <mergeCell ref="F65:F66"/>
    <mergeCell ref="H65:H66"/>
    <mergeCell ref="I65:I66"/>
    <mergeCell ref="B62:J62"/>
    <mergeCell ref="B64:J64"/>
    <mergeCell ref="D35:D36"/>
    <mergeCell ref="E35:E36"/>
    <mergeCell ref="H35:H36"/>
    <mergeCell ref="G35:G36"/>
    <mergeCell ref="F35:F36"/>
    <mergeCell ref="I35:I36"/>
    <mergeCell ref="B50:J50"/>
    <mergeCell ref="B52:J52"/>
    <mergeCell ref="B53:B54"/>
    <mergeCell ref="C53:C54"/>
    <mergeCell ref="D53:D54"/>
    <mergeCell ref="E53:E54"/>
    <mergeCell ref="F53:F54"/>
    <mergeCell ref="G53:G54"/>
    <mergeCell ref="H53:H54"/>
    <mergeCell ref="I53:I54"/>
    <mergeCell ref="B8:J8"/>
    <mergeCell ref="B7:J7"/>
    <mergeCell ref="B32:J32"/>
    <mergeCell ref="B35:B36"/>
    <mergeCell ref="C35:C36"/>
    <mergeCell ref="B34:J34"/>
    <mergeCell ref="B215:J215"/>
    <mergeCell ref="B218:B219"/>
    <mergeCell ref="C218:C219"/>
    <mergeCell ref="D218:D219"/>
    <mergeCell ref="E218:E219"/>
    <mergeCell ref="F218:F219"/>
    <mergeCell ref="G218:G219"/>
    <mergeCell ref="B217:J217"/>
    <mergeCell ref="G86:G87"/>
    <mergeCell ref="B124:J124"/>
    <mergeCell ref="B126:J126"/>
    <mergeCell ref="B127:B128"/>
    <mergeCell ref="C127:C128"/>
    <mergeCell ref="D127:D128"/>
    <mergeCell ref="E127:E128"/>
    <mergeCell ref="F127:F128"/>
    <mergeCell ref="G127:G128"/>
    <mergeCell ref="B176:J176"/>
    <mergeCell ref="B178:J178"/>
    <mergeCell ref="B179:B180"/>
    <mergeCell ref="C179:C180"/>
    <mergeCell ref="D179:D180"/>
    <mergeCell ref="E179:E180"/>
    <mergeCell ref="F179:F180"/>
    <mergeCell ref="B289:J289"/>
    <mergeCell ref="B291:J291"/>
    <mergeCell ref="B292:B293"/>
    <mergeCell ref="C292:C293"/>
    <mergeCell ref="D292:D293"/>
    <mergeCell ref="E292:E293"/>
    <mergeCell ref="F292:F293"/>
    <mergeCell ref="G292:G293"/>
    <mergeCell ref="B233:J233"/>
    <mergeCell ref="B235:J235"/>
    <mergeCell ref="B236:B237"/>
    <mergeCell ref="C236:C237"/>
    <mergeCell ref="D236:D237"/>
    <mergeCell ref="E236:E237"/>
    <mergeCell ref="F236:F237"/>
    <mergeCell ref="G236:G237"/>
    <mergeCell ref="B258:J258"/>
    <mergeCell ref="B260:J260"/>
    <mergeCell ref="B261:B262"/>
    <mergeCell ref="C261:C262"/>
    <mergeCell ref="D261:D262"/>
    <mergeCell ref="E261:E262"/>
    <mergeCell ref="F261:F262"/>
    <mergeCell ref="G261:G262"/>
    <mergeCell ref="F354:F355"/>
    <mergeCell ref="G354:G355"/>
    <mergeCell ref="B317:J317"/>
    <mergeCell ref="B319:J319"/>
    <mergeCell ref="B320:B321"/>
    <mergeCell ref="C320:C321"/>
    <mergeCell ref="D320:D321"/>
    <mergeCell ref="E320:E321"/>
    <mergeCell ref="F320:F321"/>
    <mergeCell ref="G320:G321"/>
    <mergeCell ref="H236:H237"/>
    <mergeCell ref="I236:I237"/>
    <mergeCell ref="H261:H262"/>
    <mergeCell ref="I261:I262"/>
    <mergeCell ref="H320:H321"/>
    <mergeCell ref="I320:I321"/>
    <mergeCell ref="H354:H355"/>
    <mergeCell ref="I354:I355"/>
    <mergeCell ref="H86:H87"/>
    <mergeCell ref="I86:I87"/>
    <mergeCell ref="H127:H128"/>
    <mergeCell ref="I127:I128"/>
    <mergeCell ref="H156:H157"/>
    <mergeCell ref="I156:I157"/>
    <mergeCell ref="H179:H180"/>
    <mergeCell ref="I179:I180"/>
    <mergeCell ref="H218:H219"/>
    <mergeCell ref="I218:I219"/>
    <mergeCell ref="B351:J351"/>
    <mergeCell ref="B353:J353"/>
    <mergeCell ref="B354:B355"/>
    <mergeCell ref="C354:C355"/>
    <mergeCell ref="D354:D355"/>
    <mergeCell ref="E354:E355"/>
    <mergeCell ref="B412:J412"/>
    <mergeCell ref="B414:J414"/>
    <mergeCell ref="B415:B416"/>
    <mergeCell ref="C415:C416"/>
    <mergeCell ref="D415:D416"/>
    <mergeCell ref="E415:E416"/>
    <mergeCell ref="F415:F416"/>
    <mergeCell ref="G415:G416"/>
    <mergeCell ref="H415:H416"/>
    <mergeCell ref="I415:I416"/>
    <mergeCell ref="B441:J441"/>
    <mergeCell ref="B443:J443"/>
    <mergeCell ref="B444:B445"/>
    <mergeCell ref="C444:C445"/>
    <mergeCell ref="D444:D445"/>
    <mergeCell ref="E444:E445"/>
    <mergeCell ref="F444:F445"/>
    <mergeCell ref="G444:G445"/>
    <mergeCell ref="H444:H445"/>
    <mergeCell ref="I444:I445"/>
    <mergeCell ref="B462:J462"/>
    <mergeCell ref="B464:J464"/>
    <mergeCell ref="B465:B466"/>
    <mergeCell ref="C465:C466"/>
    <mergeCell ref="D465:D466"/>
    <mergeCell ref="E465:E466"/>
    <mergeCell ref="F465:F466"/>
    <mergeCell ref="G465:G466"/>
    <mergeCell ref="H465:H466"/>
    <mergeCell ref="I465:I466"/>
    <mergeCell ref="B481:J481"/>
    <mergeCell ref="B483:J483"/>
    <mergeCell ref="B484:B485"/>
    <mergeCell ref="C484:C485"/>
    <mergeCell ref="D484:D485"/>
    <mergeCell ref="E484:E485"/>
    <mergeCell ref="F484:F485"/>
    <mergeCell ref="G484:G485"/>
    <mergeCell ref="H484:H485"/>
    <mergeCell ref="I484:I485"/>
    <mergeCell ref="B527:J527"/>
    <mergeCell ref="B529:J529"/>
    <mergeCell ref="B530:B531"/>
    <mergeCell ref="C530:C531"/>
    <mergeCell ref="D530:D531"/>
    <mergeCell ref="E530:E531"/>
    <mergeCell ref="F530:F531"/>
    <mergeCell ref="G530:G531"/>
    <mergeCell ref="H530:H531"/>
    <mergeCell ref="I530:I531"/>
  </mergeCells>
  <phoneticPr fontId="6" type="noConversion"/>
  <hyperlinks>
    <hyperlink ref="B14" location="'Bonos Internos'!A75" display="Bonos Internos Plan de Recapitalización del Banco Central (Ley No. 167-07)" xr:uid="{00000000-0004-0000-0000-000000000000}"/>
    <hyperlink ref="B15" location="'Bonos Internos'!A112" display="Bonos Internos Subastas Ministerio de Hacienda durante 2010 (Ley No. 366-09)" xr:uid="{00000000-0004-0000-0000-000001000000}"/>
    <hyperlink ref="B16" location="'Bonos Internos'!B144" display="Bonos Internos Subastas Ministerio de Hacienda durante 2011 (Ley No. 131-11)" xr:uid="{00000000-0004-0000-0000-000002000000}"/>
    <hyperlink ref="B17" location="'Bonos Internos'!B168" display="Bonos Internos Subastas Ministerio de Hacienda durante 2012 (Ley No. 361-11)" xr:uid="{00000000-0004-0000-0000-000003000000}"/>
    <hyperlink ref="B18" location="'Bonos Internos'!B207" display="Bonos Internos Subastas Ministerio de Hacienda durante 2013 (Ley No. 58-13)" xr:uid="{00000000-0004-0000-0000-000004000000}"/>
    <hyperlink ref="B13" location="'Bonos Internos'!B23" display="Resto de Bonos Internos Emitidos por el Sector Público" xr:uid="{00000000-0004-0000-0000-000005000000}"/>
    <hyperlink ref="B19" location="'Bonos Internos'!B226" display="Bonos Internos Subastas Ministerio de Hacienda durante 2014 (Ley No. 152-14)" xr:uid="{00000000-0004-0000-0000-000006000000}"/>
    <hyperlink ref="B20" location="'Bonos Internos'!B226" display="Bonos Internos Subastas Ministerio de Hacienda durante 2015 (Ley No. 548-14)" xr:uid="{00000000-0004-0000-0000-000007000000}"/>
    <hyperlink ref="B21" location="'Bonos Internos'!B281" display="Bonos Internos Subastas Ministerio de Hacienda durante 2016 (Ley No. 331-15)" xr:uid="{00000000-0004-0000-0000-000008000000}"/>
    <hyperlink ref="B22" location="'Bonos Internos'!A311" display="Bonos Internos Subastas Ministerio de Hacienda durante 2017 (Ley No. 693-16)" xr:uid="{00000000-0004-0000-0000-000009000000}"/>
    <hyperlink ref="B23" location="'Bonos Internos'!A347" display="Bonos Internos Subastas Ministerio de Hacienda durante 2018 (Ley No. 248-17)" xr:uid="{00000000-0004-0000-0000-00000A000000}"/>
    <hyperlink ref="B24" location="'Bonos Internos'!A375" display="Bonos Internos Subastas Ministerio de Hacienda durante 2018 (Ley No. 64-18)" xr:uid="{00000000-0004-0000-0000-00000B000000}"/>
    <hyperlink ref="B25" location="'Bonos Internos'!A440" display="Bonos Internos Subastas Ministerio de Hacienda durante 2020 (Ley No. 512-19)" xr:uid="{00000000-0004-0000-0000-00000C000000}"/>
    <hyperlink ref="B26" location="'Bonos Internos'!A481" display="Bonos Internos Subastas Ministerio de Hacienda durante 2021 (Ley No. 243-20)" xr:uid="{00000000-0004-0000-0000-00000D000000}"/>
    <hyperlink ref="B27" location="'Bonos Internos'!A500" display="Bonos Internos Subastas Ministerio de Hacienda durante 2022 (Ley No. 348-21)" xr:uid="{00000000-0004-0000-0000-00000E000000}"/>
    <hyperlink ref="B28" location="'Bonos Internos'!A500" display="Bonos Internos Subastas Ministerio de Hacienda durante 2022 (Ley No. 348-21)" xr:uid="{00000000-0004-0000-0000-00000F000000}"/>
    <hyperlink ref="B29" location="'Bonos Internos'!A524" display="Bonos Internos Subastas Ministerio de Hacienda durante 2024 (Ley No. 07-24)" xr:uid="{00000000-0004-0000-0000-000010000000}"/>
    <hyperlink ref="B30" location="'Bonos Internos'!A540" display="Bonos Internos Subastas Ministerio de Hacienda durante 2025 (Ley No. 90-24)" xr:uid="{D1E5F39D-AD6B-4D2A-AC07-361E02D8B9A9}"/>
  </hyperlinks>
  <pageMargins left="0.24" right="0.23622047244094491" top="0.23" bottom="0.56000000000000005" header="0.25" footer="0.51181102362204722"/>
  <pageSetup scale="65" orientation="portrait" r:id="rId1"/>
  <headerFooter alignWithMargins="0"/>
  <ignoredErrors>
    <ignoredError sqref="H221:I221" formulaRange="1"/>
    <ignoredError sqref="I203 I195 I279 I328:I329 I330 I383:I388 I390 I392 I268 I35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1 a u U k O x 9 u O n A A A A + A A A A B I A H A B D b 2 5 m a W c v U G F j a 2 F n Z S 5 4 b W w g o h g A K K A U A A A A A A A A A A A A A A A A A A A A A A A A A A A A h Y 9 B D o I w F E S v Q r q n L R X U k E 9 Z u J X E h G j c k l K h E Y q h x X I 3 F x 7 J K 0 i i q D u X M 3 m T v H n c 7 p C O b e N d Z W 9 U p x M U Y I o 8 q U V X K l 0 l a L A n f 4 1 S D r t C n I t K e h O s T T w a l a D a 2 k t M i H M O u w X u + o o w S g N y z L a 5 q G V b + E o b W 2 g h 0 W d V / l 8 h D o e X D G d 4 x X A U R U s c h g G Q u Y Z M 6 S / C J m N M g f y U s B k a O / S S S + 3 v c y B z B P J + w Z 9 Q S w M E F A A C A A g A A 1 a u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N W r l I o i k e 4 D g A A A B E A A A A T A B w A R m 9 y b X V s Y X M v U 2 V j d G l v b j E u b S C i G A A o o B Q A A A A A A A A A A A A A A A A A A A A A A A A A A A A r T k 0 u y c z P U w i G 0 I b W A F B L A Q I t A B Q A A g A I A A N W r l J D s f b j p w A A A P g A A A A S A A A A A A A A A A A A A A A A A A A A A A B D b 2 5 m a W c v U G F j a 2 F n Z S 5 4 b W x Q S w E C L Q A U A A I A C A A D V q 5 S D 8 r p q 6 Q A A A D p A A A A E w A A A A A A A A A A A A A A A A D z A A A A W 0 N v b n R l b n R f V H l w Z X N d L n h t b F B L A Q I t A B Q A A g A I A A N W r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x h 1 j X k 8 g p S q 6 l J S U e O m O D A A A A A A I A A A A A A A N m A A D A A A A A E A A A A D k i A c f m x w q T 6 O 1 5 o b 9 x t 7 g A A A A A B I A A A K A A A A A Q A A A A h k F f n M N l b e A 5 5 + b 2 Q N y H q F A A A A B m L z k 0 f t K + 4 2 Y C 0 n + S 8 i m S q S Z g B 7 L x E f R Y 9 g 2 8 S 9 D I q K p l b 4 5 K V o 6 F 8 g l H o X S 3 V P J G S V G x g 5 G e Z K I s b x J z A C G 7 f E p f c y 6 x 5 v r J r W r 8 s j B Z G h Q A A A B 3 M 2 7 m r a k k H r h 5 k E L 6 M z r n Y I L V z g = = < / D a t a M a s h u p > 
</file>

<file path=customXml/itemProps1.xml><?xml version="1.0" encoding="utf-8"?>
<ds:datastoreItem xmlns:ds="http://schemas.openxmlformats.org/officeDocument/2006/customXml" ds:itemID="{75C2CD31-9AF5-41BA-A2A6-79ACC8D445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Bonos Internos</vt:lpstr>
      <vt:lpstr>Relación_de_Bonos_Internos_Plan_de_Recapitalización_del_Banco_Central__Ley_No._167_07</vt:lpstr>
      <vt:lpstr>Relación_de_Bonos_Internos_Subastas_Ministerio_de_Hacienda__Ley_No._366_09</vt:lpstr>
      <vt:lpstr>Relación_del_Resto_de_Bonos_Internos_Emitidos_por_el_Sector_Público</vt:lpstr>
    </vt:vector>
  </TitlesOfParts>
  <Company>Secretaria de Estado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Rodriguez</dc:creator>
  <cp:lastModifiedBy>Pedro Manuel Joaquin Federico</cp:lastModifiedBy>
  <cp:lastPrinted>2013-11-01T17:30:50Z</cp:lastPrinted>
  <dcterms:created xsi:type="dcterms:W3CDTF">2007-05-15T15:37:59Z</dcterms:created>
  <dcterms:modified xsi:type="dcterms:W3CDTF">2025-03-31T20:27:19Z</dcterms:modified>
</cp:coreProperties>
</file>